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gkTdCXl4fAAaFOdX63fk95oXcEgSbXP+y89qJKAinbOdxkhrQ3B6+oeHKe4zGXrEa/+87kr2yFO1ysZEsUDcw==" workbookSaltValue="LU9n5FBsvrzmPWQDQt9S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BF17" i="8" l="1"/>
  <c r="T31" i="8"/>
  <c r="R11" i="14"/>
  <c r="R18" i="14"/>
  <c r="R22" i="14"/>
  <c r="R28" i="14"/>
  <c r="T12" i="11"/>
  <c r="T19" i="11"/>
  <c r="T22" i="11"/>
  <c r="T28"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<sst xmlns="http://schemas.openxmlformats.org/spreadsheetml/2006/main" count="2682" uniqueCount="1192">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</sst>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08ie2anlgEBEokCJoRdAFGy//oi2z12ESyXthYbzkUZ+i0zCbsc7MilJ1Wze8gtP7uVa0kM7Y/TbdljcJhq2Q==" saltValue="BMKgqfv35Ed2Evcit+PR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8</v>
      </c>
      <c r="F10" s="240">
        <f>IF(ISNUMBER(Datos!K10),Datos!K10," - ")</f>
        <v>11</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27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24.721225710014949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8</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1495</v>
      </c>
      <c r="D17" s="239">
        <f>IF(ISNUMBER(IF(D_I="SI",Datos!I17,Datos!I17+Datos!AC17)),IF(D_I="SI",Datos!I17,Datos!I17+Datos!AC17)," - ")</f>
        <v>1476</v>
      </c>
      <c r="E17" s="240">
        <f>IF(ISNUMBER(IF(D_I="SI",Datos!J17,Datos!J17+Datos!AD17)),IF(D_I="SI",Datos!J17,Datos!J17+Datos!AD17)," - ")</f>
        <v>1975</v>
      </c>
      <c r="F17" s="240">
        <f>IF(ISNUMBER(IF(D_I="SI",Datos!K17,Datos!K17+Datos!AE17)),IF(D_I="SI",Datos!K17,Datos!K17+Datos!AE17)," - ")</f>
        <v>1995</v>
      </c>
      <c r="G17" s="1390" t="str">
        <f>IF(Datos!E17&lt;&gt;"",Datos!E17,Datos!D17)</f>
        <v>04</v>
      </c>
      <c r="H17" s="241">
        <f>IF(ISNUMBER(IF(D_I="SI",Datos!L17,Datos!L17+Datos!AF17)),IF(D_I="SI",Datos!L17,Datos!L17+Datos!AF17)," - ")</f>
        <v>1475</v>
      </c>
      <c r="I17" s="1400" t="str">
        <f>IF(ISNUMBER(Datos!AS17/Datos!BM17),Datos!AS17/Datos!BM17," - ")</f>
        <v xml:space="preserve"> - </v>
      </c>
      <c r="J17" s="1401">
        <f>IF(ISNUMBER(Datos!BY17/Datos!CN17),Datos!BY17/Datos!CN17," - ")</f>
        <v>0</v>
      </c>
      <c r="K17" s="244">
        <f t="shared" si="3"/>
        <v>-1.3377926421404682E-2</v>
      </c>
      <c r="L17" s="1402">
        <f>IF(ISNUMBER(NºAsuntos!I17/NºAsuntos!G17),(NºAsuntos!I17/NºAsuntos!G17)*11," - ")</f>
        <v>8.132832080200501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96</v>
      </c>
      <c r="D18" s="239">
        <f>IF(ISNUMBER(IF(D_I="SI",Datos!I18,Datos!I18+Datos!AC18)),IF(D_I="SI",Datos!I18,Datos!I18+Datos!AC18)," - ")</f>
        <v>96</v>
      </c>
      <c r="E18" s="240">
        <f>IF(ISNUMBER(IF(D_I="SI",Datos!J18,Datos!J18+Datos!AD18)),IF(D_I="SI",Datos!J18,Datos!J18+Datos!AD18)," - ")</f>
        <v>107</v>
      </c>
      <c r="F18" s="240">
        <f>IF(ISNUMBER(IF(D_I="SI",Datos!K18,Datos!K18+Datos!AE18)),IF(D_I="SI",Datos!K18,Datos!K18+Datos!AE18)," - ")</f>
        <v>73</v>
      </c>
      <c r="G18" s="1390" t="str">
        <f>IF(Datos!E18&lt;&gt;"",Datos!E18,Datos!D18)</f>
        <v>37</v>
      </c>
      <c r="H18" s="241">
        <f>IF(ISNUMBER(IF(D_I="SI",Datos!L18,Datos!L18+Datos!AF18)),IF(D_I="SI",Datos!L18,Datos!L18+Datos!AF18)," - ")</f>
        <v>130</v>
      </c>
      <c r="I18" s="1400" t="str">
        <f>IF(ISNUMBER(Datos!AS18/Datos!BM18),Datos!AS18/Datos!BM18," - ")</f>
        <v xml:space="preserve"> - </v>
      </c>
      <c r="J18" s="1401" t="str">
        <f>IF(ISNUMBER((Datos!BY18+Datos!BZ18)/Datos!CN18),(Datos!BY18+Datos!BZ18)/Datos!CN18," - ")</f>
        <v xml:space="preserve"> - </v>
      </c>
      <c r="K18" s="244">
        <f t="shared" si="3"/>
        <v>0.35416666666666669</v>
      </c>
      <c r="L18" s="1402">
        <f>IF(ISNUMBER(NºAsuntos!I18/NºAsuntos!G18),(NºAsuntos!I18/NºAsuntos!G18)*11," - ")</f>
        <v>19.589041095890412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1591</v>
      </c>
      <c r="D23" s="1407">
        <f>SUBTOTAL(9,D16:D22)</f>
        <v>1572</v>
      </c>
      <c r="E23" s="1408">
        <f>SUBTOTAL(9,E16:E22)</f>
        <v>2082</v>
      </c>
      <c r="F23" s="1408">
        <f>SUBTOTAL(9,F16:F22)</f>
        <v>2068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1621</v>
      </c>
      <c r="D31" s="1435">
        <f>SUBTOTAL(9,D9:D30)</f>
        <v>1602</v>
      </c>
      <c r="E31" s="1436">
        <f>SUBTOTAL(9,E9:E30)</f>
        <v>2090</v>
      </c>
      <c r="F31" s="1436">
        <f>SUBTOTAL(9,F9:F30)</f>
        <v>2079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Rcq8CSF0BksHS6xSEW/u/C18uiSEsVY2Ftayk/CtjNdn9ocoJDPUKlnT328n5I7/G6OGJrMbTR/iputoJXqjg==" saltValue="qRmQdV5imoftfSQpuKCdC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LWSpDAT5qxNond90BeuxrS8uo3wgVTuZBSWKPbp5Uqwtd9vE1ATuWs/530+HoctgM2bG94JAhPBPaSeIo0zcQ==" saltValue="I2YtaYss6uVPGdUJP9My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8</v>
      </c>
      <c r="K10" s="194">
        <v>11</v>
      </c>
      <c r="L10" s="194">
        <v>27</v>
      </c>
      <c r="M10" s="194">
        <v>5</v>
      </c>
      <c r="N10" s="194">
        <v>2</v>
      </c>
      <c r="O10" s="194">
        <v>6</v>
      </c>
      <c r="P10" s="194">
        <v>2</v>
      </c>
      <c r="Q10" s="194">
        <v>2</v>
      </c>
      <c r="R10" s="194">
        <v>32</v>
      </c>
      <c r="S10" s="194">
        <v>29</v>
      </c>
      <c r="T10" s="194">
        <v>20</v>
      </c>
      <c r="U10" s="194">
        <v>24</v>
      </c>
      <c r="V10" s="194">
        <v>25</v>
      </c>
      <c r="W10" s="194">
        <v>6</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20</v>
      </c>
      <c r="BA10" s="139">
        <f t="shared" si="0"/>
        <v>24</v>
      </c>
      <c r="BB10" s="139">
        <f t="shared" si="0"/>
        <v>25</v>
      </c>
      <c r="BC10" s="135">
        <f t="shared" si="0"/>
        <v>6</v>
      </c>
      <c r="BD10" s="136">
        <f>IF(ISNUMBER(BA10/AZ10),BA10/AZ10," - ")</f>
        <v>1.2</v>
      </c>
      <c r="BE10" s="137">
        <f>IF(ISNUMBER(BB10/BA10),BB10/BA10, " - ")</f>
        <v>1.0416666666666667</v>
      </c>
      <c r="BF10" s="137">
        <f>IF(ISNUMBER(BC10/BA10),BC10/BA10, " - ")</f>
        <v>0.25</v>
      </c>
      <c r="BG10" s="209">
        <f>IF(ISNUMBER((AY10+AZ10)/BA10),(AY10+AZ10)/BA10," - ")</f>
        <v>2.0416666666666665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2763</v>
      </c>
      <c r="J12" s="196">
        <v>1330</v>
      </c>
      <c r="K12" s="196">
        <v>1216</v>
      </c>
      <c r="L12" s="196">
        <v>2866</v>
      </c>
      <c r="M12" s="196">
        <v>369</v>
      </c>
      <c r="N12" s="196">
        <v>452</v>
      </c>
      <c r="O12" s="194">
        <v>552</v>
      </c>
      <c r="P12" s="196">
        <v>332</v>
      </c>
      <c r="Q12" s="196">
        <v>948</v>
      </c>
      <c r="R12" s="196">
        <v>4679</v>
      </c>
      <c r="S12" s="196">
        <v>2261</v>
      </c>
      <c r="T12" s="196">
        <v>1257</v>
      </c>
      <c r="U12" s="196">
        <v>1213</v>
      </c>
      <c r="V12" s="196">
        <v>2305</v>
      </c>
      <c r="W12" s="196">
        <v>341</v>
      </c>
      <c r="X12" s="202">
        <v>456</v>
      </c>
      <c r="Y12" s="204">
        <v>131</v>
      </c>
      <c r="Z12" s="194">
        <v>132</v>
      </c>
      <c r="AA12" s="194">
        <v>122</v>
      </c>
      <c r="AB12" s="194">
        <v>141</v>
      </c>
      <c r="AC12" s="196">
        <v>0</v>
      </c>
      <c r="AD12" s="196">
        <v>0</v>
      </c>
      <c r="AE12" s="196">
        <v>0</v>
      </c>
      <c r="AF12" s="202">
        <v>0</v>
      </c>
      <c r="AG12" s="215">
        <v>162</v>
      </c>
      <c r="AH12" s="196">
        <v>108</v>
      </c>
      <c r="AI12" s="196">
        <v>126</v>
      </c>
      <c r="AJ12" s="216">
        <v>144</v>
      </c>
      <c r="AK12" s="195">
        <v>0</v>
      </c>
      <c r="AL12" s="196">
        <v>0</v>
      </c>
      <c r="AM12" s="196">
        <v>0</v>
      </c>
      <c r="AN12" s="202">
        <v>0</v>
      </c>
      <c r="AO12" s="283">
        <v>7</v>
      </c>
      <c r="AP12" s="168">
        <v>7</v>
      </c>
      <c r="AQ12" s="168">
        <v>7</v>
      </c>
      <c r="AR12" s="167">
        <v>7</v>
      </c>
      <c r="AS12" s="381" t="s">
        <v>1075</v>
      </c>
      <c r="AT12" s="216"/>
      <c r="AU12" s="215"/>
      <c r="AV12" s="216"/>
      <c r="AW12" s="215"/>
      <c r="AX12" s="216"/>
      <c r="AY12" s="136">
        <f t="shared" si="1"/>
        <v>2423</v>
      </c>
      <c r="AZ12" s="137">
        <f t="shared" si="1"/>
        <v>1365</v>
      </c>
      <c r="BA12" s="137">
        <f t="shared" si="1"/>
        <v>1339</v>
      </c>
      <c r="BB12" s="137">
        <f t="shared" si="1"/>
        <v>2449</v>
      </c>
      <c r="BC12" s="135">
        <f>IF(ISNUMBER(X12),X12," - ")</f>
        <v>456</v>
      </c>
      <c r="BD12" s="136">
        <f t="shared" si="2"/>
        <v>0.98095238095238091</v>
      </c>
      <c r="BE12" s="137">
        <f t="shared" si="3"/>
        <v>1.8289768483943241</v>
      </c>
      <c r="BF12" s="137">
        <f t="shared" si="4"/>
        <v>0.34055265123226286</v>
      </c>
      <c r="BG12" s="209">
        <f t="shared" si="5"/>
        <v>2.8289768483943241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2793</v>
      </c>
      <c r="J14" s="197">
        <f t="shared" si="7"/>
        <v>1338</v>
      </c>
      <c r="K14" s="197">
        <f t="shared" si="7"/>
        <v>1227</v>
      </c>
      <c r="L14" s="197">
        <f t="shared" si="7"/>
        <v>2893</v>
      </c>
      <c r="M14" s="197">
        <f t="shared" si="7"/>
        <v>374</v>
      </c>
      <c r="N14" s="197">
        <f t="shared" si="7"/>
        <v>454</v>
      </c>
      <c r="O14" s="197">
        <f t="shared" si="7"/>
        <v>558</v>
      </c>
      <c r="P14" s="197">
        <f t="shared" si="7"/>
        <v>334</v>
      </c>
      <c r="Q14" s="197">
        <f t="shared" si="7"/>
        <v>950</v>
      </c>
      <c r="R14" s="197">
        <f t="shared" si="7"/>
        <v>4711</v>
      </c>
      <c r="S14" s="197">
        <f t="shared" si="7"/>
        <v>2290</v>
      </c>
      <c r="T14" s="197">
        <f t="shared" si="7"/>
        <v>1277</v>
      </c>
      <c r="U14" s="197">
        <f t="shared" si="7"/>
        <v>1237</v>
      </c>
      <c r="V14" s="197">
        <f t="shared" si="7"/>
        <v>2330</v>
      </c>
      <c r="W14" s="197">
        <f t="shared" si="7"/>
        <v>347</v>
      </c>
      <c r="X14" s="197">
        <f t="shared" si="7"/>
        <v>474</v>
      </c>
      <c r="Y14" s="197">
        <f t="shared" si="7"/>
        <v>131</v>
      </c>
      <c r="Z14" s="197">
        <f t="shared" si="7"/>
        <v>132</v>
      </c>
      <c r="AA14" s="197">
        <f t="shared" si="7"/>
        <v>122</v>
      </c>
      <c r="AB14" s="197">
        <f t="shared" si="7"/>
        <v>141</v>
      </c>
      <c r="AC14" s="197">
        <f t="shared" si="7"/>
        <v>0</v>
      </c>
      <c r="AD14" s="197">
        <f t="shared" si="7"/>
        <v>0</v>
      </c>
      <c r="AE14" s="197">
        <f t="shared" si="7"/>
        <v>0</v>
      </c>
      <c r="AF14" s="197">
        <f>SUBTOTAL(9,AF9:AF13)</f>
        <v>0</v>
      </c>
      <c r="AG14" s="197">
        <f t="shared" ref="AG14:AT14" si="8">SUBTOTAL(9,AG8:AG13)</f>
        <v>162</v>
      </c>
      <c r="AH14" s="197">
        <f t="shared" si="8"/>
        <v>108</v>
      </c>
      <c r="AI14" s="197">
        <f t="shared" si="8"/>
        <v>126</v>
      </c>
      <c r="AJ14" s="197">
        <f t="shared" si="8"/>
        <v>144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2452</v>
      </c>
      <c r="AZ14" s="197">
        <f>SUBTOTAL(9,AZ8:AZ13)</f>
        <v>1385</v>
      </c>
      <c r="BA14" s="197">
        <f>SUBTOTAL(9,BA8:BA13)</f>
        <v>1363</v>
      </c>
      <c r="BB14" s="197">
        <f>SUBTOTAL(9,BB8:BB13)</f>
        <v>2474</v>
      </c>
      <c r="BC14" s="197">
        <f>SUBTOTAL(9,BC8:BC13)</f>
        <v>462</v>
      </c>
      <c r="BD14" s="219">
        <f>IF(ISNUMBER(BA14/AZ14),BA14/AZ14," - ")</f>
        <v>0.98411552346570397</v>
      </c>
      <c r="BE14" s="220">
        <f>IF(ISNUMBER(BB14/BA14),BB14/BA14, " - ")</f>
        <v>1.8151137197358767</v>
      </c>
      <c r="BF14" s="220">
        <f>IF(ISNUMBER(BC14/BA14),BC14/BA14, " - ")</f>
        <v>0.33895818048422599</v>
      </c>
      <c r="BG14" s="221">
        <f>IF(ISNUMBER((AY14+AZ14)/BA14),(AY14+AZ14)/BA14," - ")</f>
        <v>2.8151137197358769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1476</v>
      </c>
      <c r="J17" s="196">
        <v>1975</v>
      </c>
      <c r="K17" s="196">
        <v>1995</v>
      </c>
      <c r="L17" s="196">
        <v>1475</v>
      </c>
      <c r="M17" s="196">
        <v>211</v>
      </c>
      <c r="N17" s="196">
        <v>1326</v>
      </c>
      <c r="O17" s="194">
        <v>31</v>
      </c>
      <c r="P17" s="196">
        <v>102</v>
      </c>
      <c r="Q17" s="196">
        <v>76</v>
      </c>
      <c r="R17" s="196">
        <v>302</v>
      </c>
      <c r="S17" s="196">
        <v>1120</v>
      </c>
      <c r="T17" s="196">
        <v>2030</v>
      </c>
      <c r="U17" s="196">
        <v>2029</v>
      </c>
      <c r="V17" s="196">
        <v>1140</v>
      </c>
      <c r="W17" s="196">
        <v>261</v>
      </c>
      <c r="X17" s="202">
        <v>1321</v>
      </c>
      <c r="Y17" s="215">
        <v>0</v>
      </c>
      <c r="Z17" s="196">
        <v>0</v>
      </c>
      <c r="AA17" s="196">
        <v>0</v>
      </c>
      <c r="AB17" s="196">
        <v>0</v>
      </c>
      <c r="AC17" s="196">
        <v>2</v>
      </c>
      <c r="AD17" s="196">
        <v>0</v>
      </c>
      <c r="AE17" s="196">
        <v>0</v>
      </c>
      <c r="AF17" s="202">
        <v>2</v>
      </c>
      <c r="AG17" s="215">
        <v>0</v>
      </c>
      <c r="AH17" s="196">
        <v>0</v>
      </c>
      <c r="AI17" s="196">
        <v>0</v>
      </c>
      <c r="AJ17" s="216">
        <v>0</v>
      </c>
      <c r="AK17" s="195">
        <v>11</v>
      </c>
      <c r="AL17" s="196">
        <v>2</v>
      </c>
      <c r="AM17" s="196">
        <v>12</v>
      </c>
      <c r="AN17" s="202">
        <v>1</v>
      </c>
      <c r="AO17" s="283">
        <v>7</v>
      </c>
      <c r="AP17" s="168">
        <v>7</v>
      </c>
      <c r="AQ17" s="168">
        <v>7</v>
      </c>
      <c r="AR17" s="168">
        <v>7</v>
      </c>
      <c r="AS17" s="381" t="s">
        <v>650</v>
      </c>
      <c r="AT17" s="216"/>
      <c r="AU17" s="215"/>
      <c r="AV17" s="216"/>
      <c r="AW17" s="215"/>
      <c r="AX17" s="216"/>
      <c r="AY17" s="136">
        <f t="shared" si="10"/>
        <v>1120</v>
      </c>
      <c r="AZ17" s="137">
        <f t="shared" si="10"/>
        <v>2030</v>
      </c>
      <c r="BA17" s="137">
        <f t="shared" si="10"/>
        <v>2029</v>
      </c>
      <c r="BB17" s="137">
        <f t="shared" si="10"/>
        <v>1140</v>
      </c>
      <c r="BC17" s="135">
        <f>IF(ISNUMBER(W17),W17," - ")</f>
        <v>261</v>
      </c>
      <c r="BD17" s="136">
        <f t="shared" ref="BD17:BD22" si="12">IF(ISNUMBER(BA17/AZ17),BA17/AZ17," - ")</f>
        <v>0.99950738916256154</v>
      </c>
      <c r="BE17" s="137">
        <f t="shared" ref="BE17:BE22" si="13">IF(ISNUMBER(BB17/BA17),BB17/BA17, " - ")</f>
        <v>0.56185312962050271</v>
      </c>
      <c r="BF17" s="137">
        <f t="shared" ref="BF17:BF22" si="14">IF(ISNUMBER(BC17/BA17),BC17/BA17, " - ")</f>
        <v>0.12863479546574666</v>
      </c>
      <c r="BG17" s="209">
        <f t="shared" si="11"/>
        <v>1.5524889107934943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96</v>
      </c>
      <c r="J18" s="196">
        <v>107</v>
      </c>
      <c r="K18" s="196">
        <v>73</v>
      </c>
      <c r="L18" s="196">
        <v>130</v>
      </c>
      <c r="M18" s="196">
        <v>11</v>
      </c>
      <c r="N18" s="196">
        <v>56</v>
      </c>
      <c r="O18" s="196">
        <v>0</v>
      </c>
      <c r="P18" s="196">
        <v>1</v>
      </c>
      <c r="Q18" s="196">
        <v>0</v>
      </c>
      <c r="R18" s="196">
        <v>8</v>
      </c>
      <c r="S18" s="196">
        <v>81</v>
      </c>
      <c r="T18" s="196">
        <v>110</v>
      </c>
      <c r="U18" s="196">
        <v>143</v>
      </c>
      <c r="V18" s="196">
        <v>48</v>
      </c>
      <c r="W18" s="196">
        <v>19</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81</v>
      </c>
      <c r="AZ18" s="139">
        <f t="shared" si="15"/>
        <v>110</v>
      </c>
      <c r="BA18" s="139">
        <f t="shared" si="15"/>
        <v>143</v>
      </c>
      <c r="BB18" s="139">
        <f t="shared" si="15"/>
        <v>48</v>
      </c>
      <c r="BC18" s="135">
        <f>IF(ISNUMBER(W18),W18," - ")</f>
        <v>19</v>
      </c>
      <c r="BD18" s="136">
        <f>IF(ISNUMBER(BA18/AZ18),BA18/AZ18," - ")</f>
        <v>1.3</v>
      </c>
      <c r="BE18" s="137">
        <f>IF(ISNUMBER(BB18/BA18),BB18/BA18, " - ")</f>
        <v>0.33566433566433568</v>
      </c>
      <c r="BF18" s="137">
        <f>IF(ISNUMBER(BC18/BA18),BC18/BA18, " - ")</f>
        <v>0.13286713286713286</v>
      </c>
      <c r="BG18" s="209">
        <f>IF(ISNUMBER((AY18+AZ18)/BA18),(AY18+AZ18)/BA18," - ")</f>
        <v>1.3356643356643356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1572</v>
      </c>
      <c r="J23" s="197">
        <f t="shared" si="21"/>
        <v>2082</v>
      </c>
      <c r="K23" s="197">
        <f t="shared" si="21"/>
        <v>2068</v>
      </c>
      <c r="L23" s="197">
        <f t="shared" si="21"/>
        <v>1605</v>
      </c>
      <c r="M23" s="197">
        <f t="shared" si="21"/>
        <v>222</v>
      </c>
      <c r="N23" s="197">
        <f t="shared" si="21"/>
        <v>1382</v>
      </c>
      <c r="O23" s="197">
        <f t="shared" si="21"/>
        <v>31</v>
      </c>
      <c r="P23" s="197">
        <f t="shared" si="21"/>
        <v>103</v>
      </c>
      <c r="Q23" s="197">
        <f t="shared" si="21"/>
        <v>76</v>
      </c>
      <c r="R23" s="197">
        <f t="shared" si="21"/>
        <v>310</v>
      </c>
      <c r="S23" s="197">
        <f t="shared" si="21"/>
        <v>1201</v>
      </c>
      <c r="T23" s="197">
        <f t="shared" si="21"/>
        <v>2140</v>
      </c>
      <c r="U23" s="197">
        <f t="shared" si="21"/>
        <v>2172</v>
      </c>
      <c r="V23" s="197">
        <f t="shared" si="21"/>
        <v>1188</v>
      </c>
      <c r="W23" s="197">
        <f t="shared" si="21"/>
        <v>280</v>
      </c>
      <c r="X23" s="197">
        <f t="shared" si="21"/>
        <v>1418</v>
      </c>
      <c r="Y23" s="197">
        <f t="shared" si="21"/>
        <v>0</v>
      </c>
      <c r="Z23" s="197">
        <f t="shared" si="21"/>
        <v>0</v>
      </c>
      <c r="AA23" s="197">
        <f t="shared" si="21"/>
        <v>0</v>
      </c>
      <c r="AB23" s="197">
        <f t="shared" si="21"/>
        <v>0</v>
      </c>
      <c r="AC23" s="197">
        <f t="shared" si="21"/>
        <v>2</v>
      </c>
      <c r="AD23" s="197">
        <f t="shared" si="21"/>
        <v>0</v>
      </c>
      <c r="AE23" s="197">
        <f t="shared" si="21"/>
        <v>0</v>
      </c>
      <c r="AF23" s="197">
        <f t="shared" si="21"/>
        <v>2</v>
      </c>
      <c r="AG23" s="197">
        <f t="shared" si="21"/>
        <v>0</v>
      </c>
      <c r="AH23" s="197">
        <f t="shared" si="21"/>
        <v>0</v>
      </c>
      <c r="AI23" s="197">
        <f t="shared" si="21"/>
        <v>0</v>
      </c>
      <c r="AJ23" s="197">
        <f t="shared" si="21"/>
        <v>0</v>
      </c>
      <c r="AK23" s="197">
        <f t="shared" si="21"/>
        <v>11</v>
      </c>
      <c r="AL23" s="197">
        <f t="shared" si="21"/>
        <v>2</v>
      </c>
      <c r="AM23" s="197">
        <f t="shared" si="21"/>
        <v>12</v>
      </c>
      <c r="AN23" s="197">
        <f t="shared" si="21"/>
        <v>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1201</v>
      </c>
      <c r="AZ23" s="197">
        <f>SUBTOTAL(9,AZ15:AZ22)</f>
        <v>2140</v>
      </c>
      <c r="BA23" s="197">
        <f>SUBTOTAL(9,BA15:BA22)</f>
        <v>2172</v>
      </c>
      <c r="BB23" s="197">
        <f>SUBTOTAL(9,BB15:BB22)</f>
        <v>1188</v>
      </c>
      <c r="BC23" s="197">
        <f>SUBTOTAL(9,BC15:BC22)</f>
        <v>280</v>
      </c>
      <c r="BD23" s="219">
        <f>IF(ISNUMBER(BA23/AZ23),BA23/AZ23," - ")</f>
        <v>1.0149532710280373</v>
      </c>
      <c r="BE23" s="220">
        <f>IF(ISNUMBER(BB23/BA23),BB23/BA23, " - ")</f>
        <v>0.54696132596685088</v>
      </c>
      <c r="BF23" s="220">
        <f>IF(ISNUMBER(BC23/BA23),BC23/BA23, " - ")</f>
        <v>0.12891344383057091</v>
      </c>
      <c r="BG23" s="221">
        <f>IF(ISNUMBER((AY23+AZ23)/BA23),(AY23+AZ23)/BA23," - ")</f>
        <v>1.5382136279926335</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4365</v>
      </c>
      <c r="J31" s="144">
        <f t="shared" si="36"/>
        <v>3420</v>
      </c>
      <c r="K31" s="144">
        <f t="shared" si="36"/>
        <v>3295</v>
      </c>
      <c r="L31" s="144">
        <f t="shared" si="36"/>
        <v>4498</v>
      </c>
      <c r="M31" s="144">
        <f t="shared" si="36"/>
        <v>596</v>
      </c>
      <c r="N31" s="144">
        <f t="shared" si="36"/>
        <v>1836</v>
      </c>
      <c r="O31" s="144">
        <f t="shared" si="36"/>
        <v>589</v>
      </c>
      <c r="P31" s="144">
        <f t="shared" si="36"/>
        <v>437</v>
      </c>
      <c r="Q31" s="144">
        <f t="shared" si="36"/>
        <v>1026</v>
      </c>
      <c r="R31" s="144">
        <f t="shared" si="36"/>
        <v>5021</v>
      </c>
      <c r="S31" s="144">
        <f t="shared" si="36"/>
        <v>3491</v>
      </c>
      <c r="T31" s="144">
        <f t="shared" si="36"/>
        <v>3417</v>
      </c>
      <c r="U31" s="144">
        <f t="shared" si="36"/>
        <v>3409</v>
      </c>
      <c r="V31" s="144">
        <f t="shared" si="36"/>
        <v>3518</v>
      </c>
      <c r="W31" s="144">
        <f t="shared" si="36"/>
        <v>627</v>
      </c>
      <c r="X31" s="144">
        <f t="shared" si="36"/>
        <v>1892</v>
      </c>
      <c r="Y31" s="144">
        <f t="shared" si="36"/>
        <v>131</v>
      </c>
      <c r="Z31" s="144">
        <f t="shared" si="36"/>
        <v>132</v>
      </c>
      <c r="AA31" s="144">
        <f t="shared" si="36"/>
        <v>122</v>
      </c>
      <c r="AB31" s="144">
        <f t="shared" si="36"/>
        <v>141</v>
      </c>
      <c r="AC31" s="144">
        <f t="shared" si="36"/>
        <v>2</v>
      </c>
      <c r="AD31" s="144">
        <f t="shared" si="36"/>
        <v>0</v>
      </c>
      <c r="AE31" s="144">
        <f t="shared" si="36"/>
        <v>0</v>
      </c>
      <c r="AF31" s="144">
        <f t="shared" si="36"/>
        <v>2</v>
      </c>
      <c r="AG31" s="144">
        <f t="shared" si="36"/>
        <v>162</v>
      </c>
      <c r="AH31" s="144">
        <f t="shared" si="36"/>
        <v>108</v>
      </c>
      <c r="AI31" s="144">
        <f t="shared" si="36"/>
        <v>126</v>
      </c>
      <c r="AJ31" s="144">
        <f t="shared" si="36"/>
        <v>144</v>
      </c>
      <c r="AK31" s="144">
        <f t="shared" si="36"/>
        <v>11</v>
      </c>
      <c r="AL31" s="144">
        <f t="shared" si="36"/>
        <v>2</v>
      </c>
      <c r="AM31" s="144">
        <f t="shared" si="36"/>
        <v>12</v>
      </c>
      <c r="AN31" s="224">
        <f t="shared" si="36"/>
        <v>1</v>
      </c>
      <c r="AO31" s="225">
        <v>8</v>
      </c>
      <c r="AP31" s="225">
        <v>7</v>
      </c>
      <c r="AQ31" s="225">
        <v>7</v>
      </c>
      <c r="AR31" s="225">
        <v>7</v>
      </c>
      <c r="AS31" s="166">
        <f t="shared" si="36"/>
        <v>0</v>
      </c>
      <c r="AT31" s="166">
        <f t="shared" si="36"/>
        <v>0</v>
      </c>
      <c r="AU31" s="225"/>
      <c r="AV31" s="226"/>
      <c r="AW31" s="225"/>
      <c r="AX31" s="226"/>
      <c r="AY31" s="143">
        <f>SUBTOTAL(9,AY9:AY30)</f>
        <v>3653</v>
      </c>
      <c r="AZ31" s="144">
        <f>SUBTOTAL(9,AZ9:AZ30)</f>
        <v>3525</v>
      </c>
      <c r="BA31" s="144">
        <f>SUBTOTAL(9,BA9:BA30)</f>
        <v>3535</v>
      </c>
      <c r="BB31" s="144">
        <f>SUBTOTAL(9,BB9:BB30)</f>
        <v>3662</v>
      </c>
      <c r="BC31" s="145">
        <f>SUBTOTAL(9,BC9:BC30)</f>
        <v>742</v>
      </c>
      <c r="BD31" s="227">
        <f>IF(ISNUMBER(BA31/AZ31),BA31/AZ31," - ")</f>
        <v>1.0028368794326241</v>
      </c>
      <c r="BE31" s="224">
        <f>IF(ISNUMBER(BB31/BA31),BB31/BA31, " - ")</f>
        <v>1.035926449787836</v>
      </c>
      <c r="BF31" s="224">
        <f>IF(ISNUMBER(BC31/BA31),BC31/BA31, " - ")</f>
        <v>0.20990099009900989</v>
      </c>
      <c r="BG31" s="145">
        <f>IF(ISNUMBER((AY31+AZ31)/BA31),(AY31+AZ31)/BA31," - ")</f>
        <v>2.0305516265912305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LOsyVNNuFAGtKZnOTTAfukv/TWjazoHQIv+o5O1M95TQVcrZhbcLg2ponjSXHaEr/wuIlI9vERQq/Ib+S7dw==" saltValue="571dfJX0cmOifxQ3Cp19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P1bTatVatmURvoTYnAgQ/2aBYrmkF+W5rdaHXEMW9VU4i5KFIWRo5k6HjZrUnaNwR37uP0DvOsts9YjAgujQ==" saltValue="H96HlxN0+Dtmc4gl+ZKX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TORRELAVEGA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27</v>
      </c>
      <c r="AG10" s="549"/>
      <c r="AH10" s="549"/>
      <c r="AI10" s="549"/>
      <c r="AJ10" s="549"/>
      <c r="AK10" s="549"/>
      <c r="AL10" s="550"/>
      <c r="AM10" s="766">
        <f>IF(ISNUMBER(Datos!R10),Datos!R10," - ")</f>
        <v>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7.3636363636363642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332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141</v>
      </c>
      <c r="AI12" s="549" t="str">
        <f>IF(ISNUMBER(Datos!CD12),Datos!CD12,"-")</f>
        <v>-</v>
      </c>
      <c r="AJ12" s="549" t="str">
        <f>IF(ISNUMBER(Datos!EN12),Datos!EN12," - ")</f>
        <v xml:space="preserve"> - </v>
      </c>
      <c r="AK12" s="549"/>
      <c r="AL12" s="550"/>
      <c r="AM12" s="766">
        <f>IF(ISNUMBER(Datos!R12),Datos!R12," - ")</f>
        <v>4679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369</v>
      </c>
      <c r="BD12" s="693">
        <f>IF(ISNUMBER(Datos!N12),Datos!N12," - ")</f>
        <v>452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0.91518467852257179</v>
      </c>
      <c r="BH12" s="764">
        <f>IF(ISNUMBER(((IF(J_V="SI",Datos!L12/Datos!K12,(Datos!L12+Datos!AB12)/(Datos!K12+Datos!AA12)))*11)/factor_trimestre),((IF(J_V="SI",Datos!L12/Datos!K12,(Datos!L12+Datos!AB12)/(Datos!K12+Datos!AA12)))*11)/factor_trimestre," - ")</f>
        <v>6.7421524663677133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-0.11633616619452314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334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950</v>
      </c>
      <c r="AD14" s="1198">
        <f t="shared" si="2"/>
        <v>0</v>
      </c>
      <c r="AE14" s="1198">
        <f t="shared" si="2"/>
        <v>0</v>
      </c>
      <c r="AF14" s="1198">
        <f t="shared" si="2"/>
        <v>27</v>
      </c>
      <c r="AG14" s="1198">
        <f t="shared" si="2"/>
        <v>0</v>
      </c>
      <c r="AH14" s="1198">
        <f t="shared" si="2"/>
        <v>141</v>
      </c>
      <c r="AI14" s="1198">
        <f t="shared" si="2"/>
        <v>0</v>
      </c>
      <c r="AJ14" s="1198">
        <f t="shared" si="2"/>
        <v>0</v>
      </c>
      <c r="AK14" s="1198">
        <f t="shared" si="2"/>
        <v>0</v>
      </c>
      <c r="AL14" s="1198">
        <f t="shared" si="2"/>
        <v>0</v>
      </c>
      <c r="AM14" s="1198">
        <f t="shared" si="2"/>
        <v>4711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374</v>
      </c>
      <c r="BD14" s="1198">
        <f t="shared" si="2"/>
        <v>454</v>
      </c>
      <c r="BE14" s="1198">
        <f t="shared" si="2"/>
        <v>0</v>
      </c>
      <c r="BF14" s="1198">
        <f t="shared" si="2"/>
        <v>0</v>
      </c>
      <c r="BG14" s="1198">
        <f>IF(ISNUMBER(Datos!K14/Datos!J14),Datos!K14/Datos!J14," - ")</f>
        <v>0.9170403587443946</v>
      </c>
      <c r="BH14" s="1202">
        <f>IF(ISNUMBER(((Datos!L14/Datos!K14)*11)/factor_trimestre),((Datos!L14/Datos!K14)*11)/factor_trimestre," - ")</f>
        <v>7.0733496332518335</v>
      </c>
      <c r="BI14" s="1198">
        <f>IF(ISNUMBER('Resol  Asuntos'!D14/NºAsuntos!G14),'Resol  Asuntos'!D14/NºAsuntos!G14," - ")</f>
        <v>0.27724240177909565</v>
      </c>
      <c r="BJ14" s="1198" t="str">
        <f>IF(ISNUMBER(Datos!CI14/Datos!CJ14),Datos!CI14/Datos!CJ14," - ")</f>
        <v xml:space="preserve"> - </v>
      </c>
      <c r="BK14" s="1198">
        <f>SUBTOTAL(9,BK8:BK13)</f>
        <v>0</v>
      </c>
      <c r="BL14" s="1198">
        <f>IF(ISNUMBER((I14-AB14+L14)/(F14)),(I14-AB14+L14)/(F14)," - ")</f>
        <v>-0.36666666666666664</v>
      </c>
      <c r="BM14" s="1203">
        <f>SUBTOTAL(9,BM9:BM13)</f>
        <v>-0.11633616619452314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1495</v>
      </c>
      <c r="G17" s="743">
        <f>IF(ISNUMBER(IF(D_I="SI",Datos!I17,Datos!I17+Datos!AC17)),IF(D_I="SI",Datos!I17,Datos!I17+Datos!AC17)," - ")</f>
        <v>1476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1995</v>
      </c>
      <c r="AC17" s="240">
        <f>IF(ISNUMBER(Datos!Q17),Datos!Q17," - ")</f>
        <v>76</v>
      </c>
      <c r="AD17" s="374"/>
      <c r="AE17" s="562"/>
      <c r="AF17" s="741">
        <f>IF(ISNUMBER(IF(D_I="SI",Datos!L17,Datos!L17+Datos!AF17)),IF(D_I="SI",Datos!L17,Datos!L17+Datos!AF17)," - ")</f>
        <v>1475</v>
      </c>
      <c r="AG17" s="374"/>
      <c r="AH17" s="374"/>
      <c r="AI17" s="374"/>
      <c r="AJ17" s="549"/>
      <c r="AK17" s="374"/>
      <c r="AL17" s="545"/>
      <c r="AM17" s="375">
        <f>IF(ISNUMBER(Datos!R17),Datos!R17," - ")</f>
        <v>302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211</v>
      </c>
      <c r="BD17" s="243">
        <f>IF(ISNUMBER(Datos!N17),Datos!N17," - ")</f>
        <v>1326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1.0101265822784811</v>
      </c>
      <c r="BH17" s="764">
        <f>IF(ISNUMBER(((IF(D_I="SI",Datos!L17/Datos!K17,(Datos!L17+Datos!AF17)/(Datos!K17+Datos!AE17)))*11)/factor_trimestre),((IF(D_I="SI",Datos!L17/Datos!K17,(Datos!L17+Datos!AF17)/(Datos!K17+Datos!AE17)))*11)/factor_trimestre," - ")</f>
        <v>2.2180451127819549</v>
      </c>
      <c r="BI17" s="266">
        <f>IF(ISNUMBER('Resol  Asuntos'!D17/NºAsuntos!G17),'Resol  Asuntos'!D17/NºAsuntos!G17," - ")</f>
        <v>0.10576441102756892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73</v>
      </c>
      <c r="AC18" s="547">
        <f>IF(ISNUMBER(Datos!Q18),Datos!Q18," - ")</f>
        <v>0</v>
      </c>
      <c r="AD18" s="549"/>
      <c r="AE18" s="562"/>
      <c r="AF18" s="551">
        <f>IF(ISNUMBER(Datos!L18),Datos!L18,"-")</f>
        <v>130</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0.68224299065420557</v>
      </c>
      <c r="BH18" s="764">
        <f>IF(ISNUMBER(((IF(D_I="SI",Datos!L18/Datos!K18,(Datos!L18+Datos!AF18)/(Datos!K18+Datos!AE18)))*11)/factor_trimestre),((IF(D_I="SI",Datos!L18/Datos!K18,(Datos!L18+Datos!AF18)/(Datos!K18+Datos!AE18)))*11)/factor_trimestre," - ")</f>
        <v>5.3424657534246585</v>
      </c>
      <c r="BI18" s="763">
        <f>IF(ISNUMBER('Resol  Asuntos'!D18/NºAsuntos!G18),'Resol  Asuntos'!D18/NºAsuntos!G18," - ")</f>
        <v>0.15068493150684931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1495</v>
      </c>
      <c r="G23" s="1197">
        <f>SUBTOTAL(9,G16:G22)</f>
        <v>1572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2068</v>
      </c>
      <c r="AC23" s="1198">
        <f t="shared" si="5"/>
        <v>76</v>
      </c>
      <c r="AD23" s="1198">
        <f t="shared" si="5"/>
        <v>0</v>
      </c>
      <c r="AE23" s="1198">
        <f t="shared" si="5"/>
        <v>0</v>
      </c>
      <c r="AF23" s="1198">
        <f t="shared" si="5"/>
        <v>1605</v>
      </c>
      <c r="AG23" s="1198">
        <f t="shared" si="5"/>
        <v>0</v>
      </c>
      <c r="AH23" s="1198">
        <f t="shared" si="5"/>
        <v>0</v>
      </c>
      <c r="AI23" s="1198">
        <f t="shared" si="5"/>
        <v>0</v>
      </c>
      <c r="AJ23" s="1198">
        <f t="shared" si="5"/>
        <v>0</v>
      </c>
      <c r="AK23" s="1198">
        <f t="shared" si="5"/>
        <v>0</v>
      </c>
      <c r="AL23" s="1198">
        <f t="shared" si="5"/>
        <v>0</v>
      </c>
      <c r="AM23" s="1198">
        <f t="shared" si="5"/>
        <v>310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222</v>
      </c>
      <c r="BD23" s="1198">
        <f t="shared" si="5"/>
        <v>1382</v>
      </c>
      <c r="BE23" s="1198">
        <f t="shared" si="5"/>
        <v>0</v>
      </c>
      <c r="BF23" s="1198">
        <f t="shared" si="5"/>
        <v>0</v>
      </c>
      <c r="BG23" s="1198">
        <f>IF(ISNUMBER(Datos!K23/Datos!J23),Datos!K23/Datos!J23," - ")</f>
        <v>0.99327569644572522</v>
      </c>
      <c r="BH23" s="1202">
        <f>IF(ISNUMBER(((Datos!L23/Datos!K23)*11)/factor_trimestre),((Datos!L23/Datos!K23)*11)/factor_trimestre," - ")</f>
        <v>2.3283365570599615</v>
      </c>
      <c r="BI23" s="1198">
        <f>SUBTOTAL(9,BI16:BI22)</f>
        <v>0.2564493425344182</v>
      </c>
      <c r="BJ23" s="1198">
        <f>SUBTOTAL(9,BJ16:BJ22)</f>
        <v>0</v>
      </c>
      <c r="BK23" s="1198">
        <f>SUBTOTAL(9,BK16:BK22)</f>
        <v>0</v>
      </c>
      <c r="BL23" s="1198">
        <f>IF(ISNUMBER((I23-AB23+L23)/(F23)),(I23-AB23+L23)/(F23)," - ")</f>
        <v>-1.3832775919732441</v>
      </c>
      <c r="BM23" s="1205">
        <f>IF(ISNUMBER((Datos!P23-Datos!Q23)/(Datos!R23-Datos!P23+Datos!Q23)),(Datos!P23-Datos!Q23)/(Datos!R23-Datos!P23+Datos!Q23)," - ")</f>
        <v>9.5406360424028266E-2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1525</v>
      </c>
      <c r="G31" s="1117">
        <f t="shared" si="18"/>
        <v>1602</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437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2079</v>
      </c>
      <c r="AC31" s="1118">
        <f t="shared" si="19"/>
        <v>1026</v>
      </c>
      <c r="AD31" s="1118">
        <f t="shared" si="19"/>
        <v>0</v>
      </c>
      <c r="AE31" s="1118">
        <f t="shared" si="19"/>
        <v>0</v>
      </c>
      <c r="AF31" s="1125">
        <f t="shared" si="19"/>
        <v>1632</v>
      </c>
      <c r="AG31" s="1125">
        <f t="shared" si="19"/>
        <v>0</v>
      </c>
      <c r="AH31" s="1125">
        <f t="shared" si="19"/>
        <v>141</v>
      </c>
      <c r="AI31" s="1125">
        <f t="shared" si="19"/>
        <v>0</v>
      </c>
      <c r="AJ31" s="1118">
        <f t="shared" si="19"/>
        <v>0</v>
      </c>
      <c r="AK31" s="1125">
        <f t="shared" si="19"/>
        <v>0</v>
      </c>
      <c r="AL31" s="1125">
        <f t="shared" si="19"/>
        <v>0</v>
      </c>
      <c r="AM31" s="1125">
        <f t="shared" si="19"/>
        <v>5021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596</v>
      </c>
      <c r="BD31" s="1117">
        <f t="shared" si="19"/>
        <v>1836</v>
      </c>
      <c r="BE31" s="1117">
        <f t="shared" si="19"/>
        <v>0</v>
      </c>
      <c r="BF31" s="1127">
        <f t="shared" si="19"/>
        <v>0</v>
      </c>
      <c r="BG31" s="1223">
        <f>IF(ISNUMBER(Datos!K31/Datos!J31),Datos!K31/Datos!J31," - ")</f>
        <v>0.96345029239766078</v>
      </c>
      <c r="BH31" s="1223">
        <f>IF(ISNUMBER(((Datos!L31/Datos!K31)*11)/factor_trimestre),((Datos!L31/Datos!K31)*11)/factor_trimestre," - ")</f>
        <v>4.0952959028831568</v>
      </c>
      <c r="BI31" s="1103">
        <f>IF(ISNUMBER(Datos!J31/Datos!I31),Datos!J31/Datos!I31," - ")</f>
        <v>0.78350515463917525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-1.3632786885245902</v>
      </c>
      <c r="BM31" s="1188">
        <f>IF(ISNUMBER((Datos!P31-Datos!Q31+R31)/(Datos!R31-Datos!P31+Datos!Q31-R31)),(Datos!P31-Datos!Q31+R31)/(Datos!R31-Datos!P31+Datos!Q31-R31)," - ")</f>
        <v>-0.10499108734402852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764.38646420947737</v>
      </c>
      <c r="G33" s="674">
        <f>IF(ISNUMBER(STDEV(G8:G30)),STDEV(G8:G30),"-")</f>
        <v>729.64139920139644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982.54499472882492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165.77954380096821</v>
      </c>
      <c r="BD33" s="673"/>
      <c r="BE33" s="673">
        <f>IF(ISNUMBER(STDEV(BE8:BE30)),STDEV(BE8:BE30),"-")</f>
        <v>0</v>
      </c>
      <c r="BF33" s="678">
        <f>IF(ISNUMBER(STDEV(BF8:BF30)),STDEV(BF8:BF30),"-")</f>
        <v>0</v>
      </c>
      <c r="BG33" s="1052">
        <f>IF(ISNUMBER(STDEV(BG8:BG30)),STDEV(BG8:BG30),"-")</f>
        <v>0.22534658930198428</v>
      </c>
      <c r="BH33" s="1058">
        <f>IF(ISNUMBER(STDEV(BH8:BH30)),STDEV(BH8:BH30),"-")</f>
        <v>2.3547778298927842</v>
      </c>
      <c r="BI33" s="273">
        <f>IF(ISNUMBER(STDEV(BI8:BI30)),STDEV(BI8:BI30),"-")</f>
        <v>8.2544815247034997E-2</v>
      </c>
      <c r="BJ33" s="244" t="str">
        <f>IF(ISNUMBER(BL33/BM33),BL33/BM33," - ")</f>
        <v xml:space="preserve"> - </v>
      </c>
      <c r="BK33" s="709"/>
      <c r="BL33" s="681">
        <f>IF(ISNUMBER(STDEV(BL8:BL30)),STDEV(BL8:BL30),"-")</f>
        <v>0.71885247911261174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Ti4lNriZzoQZQ4HkWBGE5RICkmGb0pTzwCsiPxRcADpn/7RteNpSf0RP+/l8hGlnCUK4lSRkTTQpThOIQYiHg==" saltValue="vNuiqpK6pb0ylXyug4Ia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TORRELAVEGA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27</v>
      </c>
      <c r="AB10" s="549"/>
      <c r="AC10" s="549"/>
      <c r="AD10" s="563"/>
      <c r="AE10" s="563">
        <f>IF(ISNUMBER(Datos!R10),Datos!R10," - ")</f>
        <v>32</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7.3636363636363642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948</v>
      </c>
      <c r="AA12" s="551" t="str">
        <f>IF(ISNUMBER(IF(J_V="SI",Datos!L12,Datos!L12+Datos!AB12)-IF(Monitorios="SI",Datos!CD12,0)),
                          IF(J_V="SI",Datos!L12,Datos!L12+Datos!AB12)-IF(Monitorios="SI",Datos!CD12,0),
                          " - ")</f>
        <v xml:space="preserve"> - </v>
      </c>
      <c r="AB12" s="549"/>
      <c r="AC12" s="549"/>
      <c r="AD12" s="563"/>
      <c r="AE12" s="563">
        <f>IF(ISNUMBER(Datos!R12),Datos!R12," - ")</f>
        <v>4679</v>
      </c>
      <c r="AF12" s="693" t="str">
        <f>IF(ISNUMBER(Datos!BV12),Datos!BV12," - ")</f>
        <v xml:space="preserve"> - </v>
      </c>
      <c r="AG12" s="552" t="str">
        <f>IF(ISNUMBER(Datos!DV12),Datos!DV12," - ")</f>
        <v xml:space="preserve"> - </v>
      </c>
      <c r="AH12" s="553"/>
      <c r="AI12" s="554"/>
      <c r="AJ12" s="552">
        <f>IF(ISNUMBER(Datos!M12),Datos!M12," - ")</f>
        <v>369</v>
      </c>
      <c r="AK12" s="693">
        <f>IF(ISNUMBER(Datos!N12),Datos!N12," - ")</f>
        <v>452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6.7421524663677133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-0.11633616619452314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334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950</v>
      </c>
      <c r="AA14" s="1199">
        <f t="shared" si="3"/>
        <v>27</v>
      </c>
      <c r="AB14" s="1199">
        <f t="shared" si="3"/>
        <v>0</v>
      </c>
      <c r="AC14" s="1199">
        <f t="shared" si="3"/>
        <v>0</v>
      </c>
      <c r="AD14" s="1199">
        <f t="shared" si="3"/>
        <v>0</v>
      </c>
      <c r="AE14" s="1199">
        <f t="shared" si="3"/>
        <v>4711</v>
      </c>
      <c r="AF14" s="1211">
        <f t="shared" si="3"/>
        <v>0</v>
      </c>
      <c r="AG14" s="1211">
        <f t="shared" si="3"/>
        <v>0</v>
      </c>
      <c r="AH14" s="1211">
        <f t="shared" si="3"/>
        <v>0</v>
      </c>
      <c r="AI14" s="1211">
        <f t="shared" si="3"/>
        <v>0</v>
      </c>
      <c r="AJ14" s="1211">
        <f t="shared" si="3"/>
        <v>374</v>
      </c>
      <c r="AK14" s="1211">
        <f t="shared" si="3"/>
        <v>454</v>
      </c>
      <c r="AL14" s="1211">
        <f t="shared" si="3"/>
        <v>0</v>
      </c>
      <c r="AM14" s="1211">
        <f t="shared" si="3"/>
        <v>0</v>
      </c>
      <c r="AN14" s="1211">
        <f t="shared" si="3"/>
        <v>0</v>
      </c>
      <c r="AO14" s="1203">
        <f>IF(ISNUMBER(((NºAsuntos!I14/NºAsuntos!G14)*11)/factor_trimestre),((NºAsuntos!I14/NºAsuntos!G14)*11)/factor_trimestre," - ")</f>
        <v>6.7472201630837665</v>
      </c>
      <c r="AP14" s="1213" t="str">
        <f>IF(ISNUMBER(Datos!CI14/Datos!CJ14),Datos!CI14/Datos!CJ14," - ")</f>
        <v xml:space="preserve"> - </v>
      </c>
      <c r="AQ14" s="1236">
        <f t="shared" ref="AQ14:AV14" si="4">SUBTOTAL(9,AQ9:AQ13)</f>
        <v>0</v>
      </c>
      <c r="AR14" s="1236">
        <f t="shared" si="4"/>
        <v>-0.11633616619452314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1495</v>
      </c>
      <c r="G17" s="552">
        <f>IF(ISNUMBER(IF(D_I="SI",Datos!I17,Datos!I17+Datos!AC17)),IF(D_I="SI",Datos!I17,Datos!I17+Datos!AC17)," - ")</f>
        <v>1476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1995</v>
      </c>
      <c r="Z17" s="805">
        <f>IF(ISNUMBER(Datos!Q17),Datos!Q17," - ")</f>
        <v>76</v>
      </c>
      <c r="AA17" s="551">
        <f>IF(ISNUMBER(IF(D_I="SI",Datos!L17,Datos!L17+Datos!AF17)),IF(D_I="SI",Datos!L17,Datos!L17+Datos!AF17)," - ")</f>
        <v>1475</v>
      </c>
      <c r="AB17" s="549"/>
      <c r="AC17" s="549"/>
      <c r="AD17" s="563"/>
      <c r="AE17" s="563">
        <f>IF(ISNUMBER(Datos!R17),Datos!R17," - ")</f>
        <v>302</v>
      </c>
      <c r="AF17" s="693" t="str">
        <f>IF(ISNUMBER(Datos!BV17),Datos!BV17," - ")</f>
        <v xml:space="preserve"> - </v>
      </c>
      <c r="AG17" s="552"/>
      <c r="AH17" s="553"/>
      <c r="AI17" s="554"/>
      <c r="AJ17" s="552">
        <f>IF(ISNUMBER(Datos!M17),Datos!M17," - ")</f>
        <v>211</v>
      </c>
      <c r="AK17" s="693">
        <f>IF(ISNUMBER(Datos!N17),Datos!N17," - ")</f>
        <v>1326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2.2180451127819549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73</v>
      </c>
      <c r="Z18" s="805">
        <f>IF(ISNUMBER(Datos!Q18),Datos!Q18," - ")</f>
        <v>0</v>
      </c>
      <c r="AA18" s="551">
        <f>IF(ISNUMBER(Datos!L18),Datos!L18,"-")</f>
        <v>130</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11</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5.3424657534246585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1495</v>
      </c>
      <c r="G23" s="1197">
        <f>SUBTOTAL(9,G16:G22)</f>
        <v>1572</v>
      </c>
      <c r="H23" s="1240">
        <f>SUBTOTAL(9,H16:H22)</f>
        <v>0</v>
      </c>
      <c r="I23" s="1217">
        <f>SUBTOTAL(9,I16:I22)</f>
        <v>0</v>
      </c>
      <c r="J23" s="1164">
        <f>SUBTOTAL(9,J15:J22)</f>
        <v>0</v>
      </c>
      <c r="K23" s="1240">
        <f t="shared" ref="K23:S23" si="5">SUBTOTAL(9,K16:K22)</f>
        <v>0</v>
      </c>
      <c r="L23" s="1240">
        <f t="shared" si="5"/>
        <v>0</v>
      </c>
      <c r="M23" s="1240">
        <f t="shared" si="5"/>
        <v>0</v>
      </c>
      <c r="N23" s="1240">
        <f t="shared" si="5"/>
        <v>103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2068</v>
      </c>
      <c r="Z23" s="1240">
        <f t="shared" si="6"/>
        <v>76</v>
      </c>
      <c r="AA23" s="1240">
        <f t="shared" si="6"/>
        <v>1605</v>
      </c>
      <c r="AB23" s="1240">
        <f t="shared" si="6"/>
        <v>0</v>
      </c>
      <c r="AC23" s="1240">
        <f t="shared" si="6"/>
        <v>0</v>
      </c>
      <c r="AD23" s="1240">
        <f t="shared" si="6"/>
        <v>0</v>
      </c>
      <c r="AE23" s="1240">
        <f t="shared" si="6"/>
        <v>310</v>
      </c>
      <c r="AF23" s="1240">
        <f t="shared" si="6"/>
        <v>0</v>
      </c>
      <c r="AG23" s="1240">
        <f t="shared" si="6"/>
        <v>0</v>
      </c>
      <c r="AH23" s="1240">
        <f t="shared" si="6"/>
        <v>0</v>
      </c>
      <c r="AI23" s="1240">
        <f t="shared" si="6"/>
        <v>0</v>
      </c>
      <c r="AJ23" s="1240">
        <f t="shared" si="6"/>
        <v>222</v>
      </c>
      <c r="AK23" s="1240">
        <f t="shared" si="6"/>
        <v>1382</v>
      </c>
      <c r="AL23" s="1240">
        <f t="shared" si="6"/>
        <v>0</v>
      </c>
      <c r="AM23" s="1240">
        <f t="shared" si="6"/>
        <v>0</v>
      </c>
      <c r="AN23" s="1240">
        <f t="shared" si="6"/>
        <v>0</v>
      </c>
      <c r="AO23" s="1242">
        <f>IF(ISNUMBER(((NºAsuntos!I23/NºAsuntos!G23)*11)/factor_trimestre),((NºAsuntos!I23/NºAsuntos!G23)*11)/factor_trimestre," - ")</f>
        <v>2.3283365570599615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1525</v>
      </c>
      <c r="G31" s="1117">
        <f t="shared" si="12"/>
        <v>1602</v>
      </c>
      <c r="H31" s="1118">
        <f t="shared" si="12"/>
        <v>0</v>
      </c>
      <c r="I31" s="1117">
        <f t="shared" si="12"/>
        <v>0</v>
      </c>
      <c r="J31" s="1119">
        <f t="shared" si="12"/>
        <v>0</v>
      </c>
      <c r="K31" s="1117">
        <f t="shared" si="12"/>
        <v>0</v>
      </c>
      <c r="L31" s="1120">
        <f t="shared" si="12"/>
        <v>0</v>
      </c>
      <c r="M31" s="1117">
        <f t="shared" si="12"/>
        <v>0</v>
      </c>
      <c r="N31" s="1118">
        <f t="shared" si="12"/>
        <v>437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2079</v>
      </c>
      <c r="Z31" s="1124">
        <f t="shared" si="13"/>
        <v>1026</v>
      </c>
      <c r="AA31" s="1125">
        <f t="shared" si="13"/>
        <v>1632</v>
      </c>
      <c r="AB31" s="1125">
        <f t="shared" si="13"/>
        <v>0</v>
      </c>
      <c r="AC31" s="1125">
        <f t="shared" si="13"/>
        <v>0</v>
      </c>
      <c r="AD31" s="1126">
        <f t="shared" si="13"/>
        <v>0</v>
      </c>
      <c r="AE31" s="1126">
        <f t="shared" si="13"/>
        <v>5021</v>
      </c>
      <c r="AF31" s="1127">
        <f t="shared" si="13"/>
        <v>0</v>
      </c>
      <c r="AG31" s="1128">
        <f t="shared" si="13"/>
        <v>0</v>
      </c>
      <c r="AH31" s="1129">
        <f t="shared" si="13"/>
        <v>0</v>
      </c>
      <c r="AI31" s="1127">
        <f t="shared" si="13"/>
        <v>0</v>
      </c>
      <c r="AJ31" s="1117">
        <f t="shared" si="13"/>
        <v>596</v>
      </c>
      <c r="AK31" s="1117">
        <f t="shared" si="13"/>
        <v>1836</v>
      </c>
      <c r="AL31" s="1117">
        <f t="shared" si="13"/>
        <v>0</v>
      </c>
      <c r="AM31" s="1130">
        <f t="shared" si="13"/>
        <v>0</v>
      </c>
      <c r="AN31" s="1120">
        <f>IF(ISNUMBER(Datos!K31/Datos!J31),Datos!K31/Datos!J31," - ")</f>
        <v>0.96345029239766078</v>
      </c>
      <c r="AO31" s="1120">
        <f>IF(ISNUMBER(FIND("06",Criterios!A8,1)),(IF(ISNUMBER(((Datos!R31/Datos!Q31)*11)/factor_trimestre),((Datos!R31/Datos!Q31)*11)/factor_trimestre," - ")),(IF(ISNUMBER(((Datos!L31/Datos!K31)*11)/factor_trimestre),((Datos!L31/Datos!K31)*11)/factor_trimestre," - ")))</f>
        <v>4.0952959028831568</v>
      </c>
      <c r="AP31" s="1131" t="str">
        <f>IF(ISNUMBER(Datos!CI31/Datos!CJ31),Datos!CI31/Datos!CJ31," - ")</f>
        <v xml:space="preserve"> - </v>
      </c>
      <c r="AQ31" s="1131">
        <f>IF(OR(ISNUMBER(FIND("01",Criterios!A8,1)),ISNUMBER(FIND("02",Criterios!A8,1)),ISNUMBER(FIND("03",Criterios!A8,1)),ISNUMBER(FIND("04",Criterios!A8,1))),(J31-Y31+K31)/(F31-K31),(I31-Y31+K31)/(F31-K31))</f>
        <v>-1.3632786885245902</v>
      </c>
      <c r="AR31" s="1131">
        <f>IF(ISNUMBER((Datos!P31-Datos!Q31+O31)/(Datos!R31-Datos!P31+Datos!Q31-O31)),(Datos!P31-Datos!Q31+O31)/(Datos!R31-Datos!P31+Datos!Q31-O31)," - ")</f>
        <v>-0.10499108734402852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764.38646420947737</v>
      </c>
      <c r="G33" s="674">
        <f>IF(ISNUMBER(STDEV(G8:G30)),STDEV(G8:G30),"-")</f>
        <v>729.64139920139644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165.77954380096821</v>
      </c>
      <c r="AK33" s="276"/>
      <c r="AL33" s="276">
        <f>IF(ISNUMBER(STDEV(AL8:AL30)),STDEV(AL8:AL30),"-")</f>
        <v>0</v>
      </c>
      <c r="AM33" s="278">
        <f>IF(ISNUMBER(STDEV(AM8:AM30)),STDEV(AM8:AM30),"-")</f>
        <v>0</v>
      </c>
      <c r="AN33" s="660">
        <f>IF(ISNUMBER(STDEV(AN8:AN30)),STDEV(AN8:AN30),"-")</f>
        <v>0</v>
      </c>
      <c r="AO33" s="661">
        <f>IF(ISNUMBER(STDEV(AO8:AO30)),STDEV(AO8:AO30),"-")</f>
        <v>2.3055266884557182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fyx9vVW5csJ3z5gKEEPzpp3pWMea/blHSEcxnDA0fxu5s7yUWeOtH1Q/QByf4ChFpYEKIwS5ANfOPKNmOJBeQ==" saltValue="xQAucSlmITvDP5CJn8v6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8xa5PDsTpra7y7Rhm0l3YS3GJTzgUdNaQC07RJYhIIF86cIV7EildFh687zzIx/WOyBkHNvcj4fxKjuPWb1g==" saltValue="KrrN8UvK4WlGxGqV0hXz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Z9YT7GfoEuEEOUo6QiMG0egwg9kQDbvLsA27fIwQd2fdAfbLTUL/kphvz9CvOYbfFXHR/dxsx2fhvmyRi3Vg==" saltValue="ginLyG7AlFV61pg3fnd6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TORRELAVEGA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0.27724240177909565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0.19603998233044387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laHeuPWLIvD1ug5Rd1RvgOO9yRp4Y3bhbIdJlZKlAMXXSEgdf9G6vUwxUfDI8yAYnvwiYqQDOq2ITq85D4hbw==" saltValue="jb74e1y2EulzsuJTB+je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KuCrB8ArzfScsz3uDRtwLHBF7FRvLjUUO/ad5E0eKr8y3nMgeJqM35JsLlul1eQVLSqhejKzddRIWhbkVo2Eg==" saltValue="ZIkbPfntB5O3thTgtH9b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TORRELAVEGA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8</v>
      </c>
      <c r="F10" s="452">
        <f>IF(ISNUMBER(E10/B10),E10/B10," - ")</f>
        <v>8</v>
      </c>
      <c r="G10" s="451">
        <f>IF(ISNUMBER(Datos!K10),Datos!K10," - ")</f>
        <v>11</v>
      </c>
      <c r="H10" s="452">
        <f>IF(ISNUMBER(G10/B10),G10/B10," - ")</f>
        <v>11</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2894</v>
      </c>
      <c r="D12" s="452">
        <f>IF(ISNUMBER(C12/Datos!BH12),C12/Datos!BH12," - ")</f>
        <v>413.42857142857144</v>
      </c>
      <c r="E12" s="451">
        <f>IF(ISNUMBER(IF(J_V="SI",Datos!J12,Datos!J12+Datos!Z12)),IF(J_V="SI",Datos!J12,Datos!J12+Datos!Z12)," - ")</f>
        <v>1462</v>
      </c>
      <c r="F12" s="452">
        <f>IF(ISNUMBER(E12/B12),E12/B12," - ")</f>
        <v>208.85714285714286</v>
      </c>
      <c r="G12" s="451">
        <f>IF(ISNUMBER(IF(J_V="SI",Datos!K12,Datos!K12+Datos!AA12)),IF(J_V="SI",Datos!K12,Datos!K12+Datos!AA12)," - ")</f>
        <v>1338</v>
      </c>
      <c r="H12" s="452">
        <f>IF(ISNUMBER(G12/B12),G12/B12," - ")</f>
        <v>191.14285714285714</v>
      </c>
      <c r="I12" s="451">
        <f>IF(ISNUMBER(IF(J_V="SI",Datos!L12,Datos!L12+Datos!AB12)),IF(J_V="SI",Datos!L12,Datos!L12+Datos!AB12)," - ")</f>
        <v>3007</v>
      </c>
      <c r="J12" s="452">
        <f>IF(ISNUMBER(I12/B12),I12/B12," - ")</f>
        <v>429.57142857142856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2924</v>
      </c>
      <c r="D14" s="1147" t="str">
        <f>IF(ISNUMBER(C14/Datos!BI14),C14/Datos!BI14," - ")</f>
        <v xml:space="preserve"> - </v>
      </c>
      <c r="E14" s="1146">
        <f>SUBTOTAL(9,E8:E13)</f>
        <v>1470</v>
      </c>
      <c r="F14" s="1147">
        <f>IF(ISNUMBER(E14/B14),E14/B14," - ")</f>
        <v>210</v>
      </c>
      <c r="G14" s="1146">
        <f>SUBTOTAL(9,G8:G13)</f>
        <v>1349</v>
      </c>
      <c r="H14" s="1147">
        <f>IF(ISNUMBER(G14/B14),G14/B14," - ")</f>
        <v>192.71428571428572</v>
      </c>
      <c r="I14" s="1146">
        <f>SUBTOTAL(9,I8:I13)</f>
        <v>3034</v>
      </c>
      <c r="J14" s="1147">
        <f>IF(ISNUMBER(I14/B14),I14/B14," - ")</f>
        <v>433.42857142857144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1476</v>
      </c>
      <c r="D17" s="452">
        <f>IF(ISNUMBER(C17/Datos!BH17),C17/Datos!BH17," - ")</f>
        <v>210.85714285714286</v>
      </c>
      <c r="E17" s="451">
        <f>IF(ISNUMBER(IF(D_I="SI",Datos!J17,Datos!J17+Datos!AD17)),IF(D_I="SI",Datos!J17,Datos!J17+Datos!AD17)," - ")</f>
        <v>1975</v>
      </c>
      <c r="F17" s="452">
        <f>IF(ISNUMBER(E17/B17),E17/B17," - ")</f>
        <v>282.14285714285717</v>
      </c>
      <c r="G17" s="451">
        <f>IF(ISNUMBER(IF(D_I="SI",Datos!K17,Datos!K17+Datos!AE17)),IF(D_I="SI",Datos!K17,Datos!K17+Datos!AE17)," - ")</f>
        <v>1995</v>
      </c>
      <c r="H17" s="452">
        <f>IF(ISNUMBER(G17/B17),G17/B17," - ")</f>
        <v>285</v>
      </c>
      <c r="I17" s="451">
        <f>IF(ISNUMBER(IF(D_I="SI",Datos!L17,Datos!L17+Datos!AF17)),IF(D_I="SI",Datos!L17,Datos!L17+Datos!AF17)," - ")</f>
        <v>1475</v>
      </c>
      <c r="J17" s="452">
        <f>IF(ISNUMBER(I17/B17),I17/B17," - ")</f>
        <v>210.71428571428572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96</v>
      </c>
      <c r="D18" s="452">
        <f>IF(ISNUMBER(C18/Datos!BH18),C18/Datos!BH18," - ")</f>
        <v>96</v>
      </c>
      <c r="E18" s="451">
        <f>IF(ISNUMBER(IF(D_I="SI",Datos!J18,Datos!J18+Datos!AD18)),IF(D_I="SI",Datos!J18,Datos!J18+Datos!AD18)," - ")</f>
        <v>107</v>
      </c>
      <c r="F18" s="452">
        <f>IF(ISNUMBER(E18/B18),E18/B18," - ")</f>
        <v>107</v>
      </c>
      <c r="G18" s="451">
        <f>IF(ISNUMBER(IF(D_I="SI",Datos!K18,Datos!K18+Datos!AE18)),IF(D_I="SI",Datos!K18,Datos!K18+Datos!AE18)," - ")</f>
        <v>73</v>
      </c>
      <c r="H18" s="452">
        <f>IF(ISNUMBER(G18/B18),G18/B18," - ")</f>
        <v>73</v>
      </c>
      <c r="I18" s="451">
        <f>IF(ISNUMBER(IF(D_I="SI",Datos!L18,Datos!L18+Datos!AF18)),IF(D_I="SI",Datos!L18,Datos!L18+Datos!AF18)," - ")</f>
        <v>130</v>
      </c>
      <c r="J18" s="452">
        <f>IF(ISNUMBER(I18/B18),I18/B18," - ")</f>
        <v>130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1572</v>
      </c>
      <c r="D23" s="1147" t="str">
        <f>IF(ISNUMBER(C23/Datos!BI23),C23/Datos!BI23," - ")</f>
        <v xml:space="preserve"> - </v>
      </c>
      <c r="E23" s="1146">
        <f>SUBTOTAL(9,E15:E22)</f>
        <v>2082</v>
      </c>
      <c r="F23" s="1147">
        <f>IF(ISNUMBER(E23/B23),E23/B23," - ")</f>
        <v>297.42857142857144</v>
      </c>
      <c r="G23" s="1146">
        <f>SUBTOTAL(9,G15:G22)</f>
        <v>2068</v>
      </c>
      <c r="H23" s="1147">
        <f>IF(ISNUMBER(G23/B23),G23/B23," - ")</f>
        <v>295.42857142857144</v>
      </c>
      <c r="I23" s="1146">
        <f>SUBTOTAL(9,I15:I22)</f>
        <v>1605</v>
      </c>
      <c r="J23" s="1147">
        <f>IF(ISNUMBER(I23/B23),I23/B23," - ")</f>
        <v>229.28571428571428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4496</v>
      </c>
      <c r="D31" s="1085" t="str">
        <f>IF(ISNUMBER(C31/Datos!BI31),C31/Datos!BI31," - ")</f>
        <v xml:space="preserve"> - </v>
      </c>
      <c r="E31" s="1084">
        <f>SUBTOTAL(9,E9:E30)</f>
        <v>3552</v>
      </c>
      <c r="F31" s="1085">
        <f>IF(ISNUMBER(E31/B31),E31/B31," - ")</f>
        <v>507.42857142857144</v>
      </c>
      <c r="G31" s="1084">
        <f>SUBTOTAL(9,G9:G30)</f>
        <v>3417</v>
      </c>
      <c r="H31" s="1085">
        <f>IF(ISNUMBER(G31/B31),G31/B31," - ")</f>
        <v>488.14285714285717</v>
      </c>
      <c r="I31" s="1084">
        <f>SUBTOTAL(9,I9:I30)</f>
        <v>4639</v>
      </c>
      <c r="J31" s="1085">
        <f>IF(ISNUMBER(I31/B31),I31/B31," - ")</f>
        <v>662.71428571428567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WdutFtcl0GFxQow/4y1/xr02b7v+lPsxdZxHmjKDExXIJdFi5nbRxK9ULqPpG5L9SMrHJJSdiULG1FkZz2LCg==" saltValue="mXBQgYySJGTn/mYBCb2w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TORRELAVEGA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7.3636363636363642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369</v>
      </c>
      <c r="AM12" s="914">
        <f>IF(ISNUMBER(Datos!N12+DatosP!N17),Datos!N12+DatosP!N17," - ")</f>
        <v>452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6.7421524663677133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-0.11633616619452314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334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948</v>
      </c>
      <c r="AE14" s="1257">
        <f t="shared" si="1"/>
        <v>0</v>
      </c>
      <c r="AF14" s="1257">
        <f t="shared" si="1"/>
        <v>27</v>
      </c>
      <c r="AG14" s="1257">
        <f t="shared" si="1"/>
        <v>0</v>
      </c>
      <c r="AH14" s="1257">
        <f t="shared" si="1"/>
        <v>4679</v>
      </c>
      <c r="AI14" s="1257">
        <f t="shared" si="1"/>
        <v>0</v>
      </c>
      <c r="AJ14" s="1257">
        <f t="shared" si="1"/>
        <v>0</v>
      </c>
      <c r="AK14" s="1257">
        <f t="shared" si="1"/>
        <v>0</v>
      </c>
      <c r="AL14" s="1257">
        <f t="shared" si="1"/>
        <v>374</v>
      </c>
      <c r="AM14" s="1257">
        <f t="shared" si="1"/>
        <v>454</v>
      </c>
      <c r="AN14" s="1257">
        <f t="shared" si="1"/>
        <v>0</v>
      </c>
      <c r="AO14" s="1257">
        <f t="shared" si="1"/>
        <v>0</v>
      </c>
      <c r="AP14" s="1262">
        <f>IF(ISNUMBER(((Datos!L14/Datos!K14)*11)/factor_trimestre),((Datos!L14/Datos!K14)*11)/factor_trimestre," - ")</f>
        <v>7.0733496332518335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-0.36666666666666664</v>
      </c>
      <c r="AU14" s="1257" t="str">
        <f>IF(ISNUMBER((DatosP!#REF!-DatosP!#REF!+DatosP!#REF!)/(DatosP!#REF!+DatosP!#REF!-DatosP!#REF!-DatosP!#REF!)),(DatosP!#REF!-DatosP!#REF!+DatosP!#REF!)/(DatosP!#REF!+DatosP!#REF!-DatosP!#REF!-DatosP!#REF!)," - ")</f>
        <v xml:space="preserve"> - </v>
      </c>
      <c r="AV14" s="1263">
        <f>SUBTOTAL(9,AV9:AV13)</f>
        <v>-0.11633616619452314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2.3283365570599615</v>
      </c>
      <c r="AQ23" s="1262">
        <f>IF(ISNUMBER(((Datos!M23/Datos!L23)*11)/factor_trimestre),((Datos!M23/Datos!L23)*11)/factor_trimestre," - ")</f>
        <v>0.41495327102803742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9.5406360424028266E-2</v>
      </c>
      <c r="AW23" s="1265">
        <f>IF(ISNUMBER((Datos!Q23-Datos!R23)/(Datos!S23-Datos!Q23+Datos!R23)),(Datos!Q23-Datos!R23)/(Datos!S23-Datos!Q23+Datos!R23)," - ")</f>
        <v>-0.16306620209059233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334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948</v>
      </c>
      <c r="AE31" s="1284">
        <f t="shared" si="9"/>
        <v>0</v>
      </c>
      <c r="AF31" s="1285">
        <f t="shared" si="9"/>
        <v>27</v>
      </c>
      <c r="AG31" s="1285">
        <f t="shared" si="9"/>
        <v>0</v>
      </c>
      <c r="AH31" s="1285">
        <f t="shared" si="9"/>
        <v>4679</v>
      </c>
      <c r="AI31" s="1285">
        <f t="shared" si="9"/>
        <v>0</v>
      </c>
      <c r="AJ31" s="1286">
        <f t="shared" si="9"/>
        <v>0</v>
      </c>
      <c r="AK31" s="1286">
        <f t="shared" si="9"/>
        <v>0</v>
      </c>
      <c r="AL31" s="1278">
        <f t="shared" si="9"/>
        <v>374</v>
      </c>
      <c r="AM31" s="1278">
        <f t="shared" si="9"/>
        <v>454</v>
      </c>
      <c r="AN31" s="1278">
        <f t="shared" si="9"/>
        <v>0</v>
      </c>
      <c r="AO31" s="1278">
        <f t="shared" si="9"/>
        <v>0</v>
      </c>
      <c r="AP31" s="1278">
        <f>IF(ISNUMBER(((Datos!L31/Datos!K31)*11)/factor_trimestre),((Datos!L31/Datos!K31)*11)/factor_trimestre," - ")</f>
        <v>4.0952959028831568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-0.36666666666666664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-0.10499108734402852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191.21262161966888</v>
      </c>
      <c r="AM33" s="1006"/>
      <c r="AN33" s="1006">
        <f>IF(ISNUMBER(STDEV(AN8:AN30)),STDEV(AN8:AN30),"-")</f>
        <v>0</v>
      </c>
      <c r="AO33" s="1012">
        <f>IF(ISNUMBER(STDEV(AO8:AO30)),STDEV(AO8:AO30),"-")</f>
        <v>0</v>
      </c>
      <c r="AP33" s="1065">
        <f>IF(ISNUMBER(STDEV(AP8:AP30)),STDEV(AP8:AP30),"-")</f>
        <v>2.3792744745046428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o+W/GSJtmjIc1/FH0rLx4CkuBmzTLo5g31I5eF8hA5NJORTOqgHSABu056tELguTElIOVtANJH+1p8AOVePeQ==" saltValue="zPKP3D0sqcFxLP+XRqi0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TORRELAVEGA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ZOSYcom/YC2DtsUIiMxp60CU1roUezi3zlGno3dmaSvo3UeG5yyz9Jj0RwGnwHih/cOzN+vj5noYpWiNy70JA==" saltValue="z2oMsvIt3nHPMZV/+/vH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TORRELAVEGA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369</v>
      </c>
      <c r="E12" s="452">
        <f t="shared" si="0"/>
        <v>52.714285714285715</v>
      </c>
      <c r="F12" s="451">
        <f>IF(ISNUMBER(Datos!N12),Datos!N12," - ")</f>
        <v>452</v>
      </c>
      <c r="G12" s="452">
        <f t="shared" si="1"/>
        <v>64.571428571428569</v>
      </c>
      <c r="H12" s="451">
        <f>IF(ISNUMBER(Datos!O12),Datos!O12," - ")</f>
        <v>552</v>
      </c>
      <c r="I12" s="452">
        <f t="shared" si="2"/>
        <v>78.857142857142861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374</v>
      </c>
      <c r="E14" s="1147">
        <f t="shared" si="0"/>
        <v>46.75</v>
      </c>
      <c r="F14" s="1146">
        <f>SUBTOTAL(9,F9:F13)</f>
        <v>454</v>
      </c>
      <c r="G14" s="1147">
        <f t="shared" si="1"/>
        <v>56.75</v>
      </c>
      <c r="H14" s="1146">
        <f>SUBTOTAL(9,H9:H13)</f>
        <v>558</v>
      </c>
      <c r="I14" s="1147">
        <f>IF(ISNUMBER(H14/B14),H14/B14," - ")</f>
        <v>69.75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211</v>
      </c>
      <c r="E17" s="452">
        <f t="shared" si="3"/>
        <v>30.142857142857142</v>
      </c>
      <c r="F17" s="451">
        <f>IF(ISNUMBER(Datos!N17),Datos!N17," - ")</f>
        <v>1326</v>
      </c>
      <c r="G17" s="452">
        <f t="shared" si="4"/>
        <v>189.42857142857142</v>
      </c>
      <c r="H17" s="451">
        <f>IF(ISNUMBER(Datos!O17),Datos!O17," - ")</f>
        <v>31</v>
      </c>
      <c r="I17" s="452">
        <f t="shared" si="5"/>
        <v>4.4285714285714288</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222</v>
      </c>
      <c r="E23" s="1147">
        <f t="shared" si="3"/>
        <v>27.75</v>
      </c>
      <c r="F23" s="1146">
        <f>SUBTOTAL(9,F16:F22)</f>
        <v>1382</v>
      </c>
      <c r="G23" s="1147">
        <f t="shared" si="4"/>
        <v>172.75</v>
      </c>
      <c r="H23" s="1146">
        <f>SUBTOTAL(9,H16:H22)</f>
        <v>31</v>
      </c>
      <c r="I23" s="1147">
        <f>IF(ISNUMBER(H23/B23),H23/B23," - ")</f>
        <v>3.875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596</v>
      </c>
      <c r="E31" s="1085">
        <f>IF(ISNUMBER(D31/B31),D31/B31," - ")</f>
        <v>85.142857142857139</v>
      </c>
      <c r="F31" s="1084">
        <f>SUBTOTAL(9,F8:F30)</f>
        <v>1836</v>
      </c>
      <c r="G31" s="1085">
        <f>IF(ISNUMBER(F31/B31),F31/B31," - ")</f>
        <v>262.28571428571428</v>
      </c>
      <c r="H31" s="1084">
        <f>SUBTOTAL(9,H8:H30)</f>
        <v>589</v>
      </c>
      <c r="I31" s="1085">
        <f>IF(ISNUMBER(H31/B31),H31/B31," - ")</f>
        <v>84.142857142857139</v>
      </c>
    </row>
    <row r="34" spans="1:1">
      <c r="A34" s="439" t="str">
        <f>Criterios!A4</f>
        <v>Fecha Informe: 06 may. 2023</v>
      </c>
    </row>
    <row r="39" spans="1:1">
      <c r="A39" s="462"/>
    </row>
  </sheetData>
  <sheetProtection algorithmName="SHA-512" hashValue="DTa88xQ7RhnataEGOlxt/jUBYgPuQB5ztzff7EecbUmRg8w4sMcwCLYz+2dKR3eGOJx/8euy9IY0F8AwlU5qoA==" saltValue="etinyEjsOeBZNMLQT+iv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TORRELAVEGA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32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332</v>
      </c>
      <c r="C12" s="489">
        <f>IF(ISNUMBER(Datos!Q12),Datos!Q12," - ")</f>
        <v>948</v>
      </c>
      <c r="D12" s="456">
        <f>IF(ISNUMBER(Datos!R12),Datos!R12," - ")</f>
        <v>4679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334</v>
      </c>
      <c r="C14" s="1150">
        <f>SUBTOTAL(9,C9:C13)</f>
        <v>950</v>
      </c>
      <c r="D14" s="1148">
        <f>SUBTOTAL(9,D9:D13)</f>
        <v>4711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102</v>
      </c>
      <c r="C17" s="489">
        <f>IF(ISNUMBER(Datos!Q17),Datos!Q17," - ")</f>
        <v>76</v>
      </c>
      <c r="D17" s="456">
        <f>IF(ISNUMBER(Datos!R17),Datos!R17," - ")</f>
        <v>302</v>
      </c>
    </row>
    <row r="18" spans="1:4">
      <c r="A18" s="450" t="str">
        <f>Datos!A18</f>
        <v>Jdos. Violencia contra la mujer</v>
      </c>
      <c r="B18" s="488">
        <f>IF(ISNUMBER(Datos!P18),Datos!P18," - ")</f>
        <v>1</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103</v>
      </c>
      <c r="C23" s="1150">
        <f>SUBTOTAL(9,C16:C22)</f>
        <v>76</v>
      </c>
      <c r="D23" s="1148">
        <f>SUBTOTAL(9,D16:D22)</f>
        <v>310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437</v>
      </c>
      <c r="C31" s="1089">
        <f>SUBTOTAL(9,C8:C30)</f>
        <v>1026</v>
      </c>
      <c r="D31" s="1090">
        <f>SUBTOTAL(9,D8:D30)</f>
        <v>5021</v>
      </c>
    </row>
    <row r="32" spans="1:4" ht="7.5" customHeight="1"/>
    <row r="33" spans="1:1" ht="6" customHeight="1"/>
    <row r="34" spans="1:1">
      <c r="A34" s="439" t="str">
        <f>Criterios!A4</f>
        <v>Fecha Informe: 06 may. 2023</v>
      </c>
    </row>
    <row r="39" spans="1:1">
      <c r="A39" s="462"/>
    </row>
  </sheetData>
  <sheetProtection algorithmName="SHA-512" hashValue="wS5+ZqoTlMBS0FMmU7quXAst9aHwU/k4V7UbWWvCyRXfLSgzqtp4aZBEeaDt3I/5NqayEl6ae4whJpkNTfODuQ==" saltValue="V5l/QnC6xerm8MUR3Z8T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TORRELAVEGA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3.4482758620689655E-2</v>
      </c>
      <c r="C10" s="515">
        <f>IF(ISNUMBER((Datos!J10-Datos!T10)/Datos!T10),(Datos!J10-Datos!T10)/Datos!T10," - ")</f>
        <v>-0.6</v>
      </c>
      <c r="D10" s="515">
        <f>IF(ISNUMBER((Datos!K10-Datos!U10)/Datos!U10),(Datos!K10-Datos!U10)/Datos!U10," - ")</f>
        <v>-0.54166666666666663</v>
      </c>
      <c r="E10" s="515">
        <f>IF(ISNUMBER((Datos!L10-Datos!V10)/Datos!V10),(Datos!L10-Datos!V10)/Datos!V10," - ")</f>
        <v>0.08</v>
      </c>
      <c r="F10" s="515">
        <f>IF(ISNUMBER((Datos!M10-Datos!W10)/Datos!W10),(Datos!M10-Datos!W10)/Datos!W10," - ")</f>
        <v>-0.16666666666666666</v>
      </c>
      <c r="G10" s="516">
        <f>IF(ISNUMBER((Datos!N10-Datos!X10)/Datos!X10),(Datos!N10-Datos!X10)/Datos!X10," - ")</f>
        <v>-0.88888888888888884</v>
      </c>
      <c r="H10" s="514">
        <f>IF(ISNUMBER(((NºAsuntos!G10/NºAsuntos!E10)-Datos!BD10)/Datos!BD10),((NºAsuntos!G10/NºAsuntos!E10)-Datos!BD10)/Datos!BD10," - ")</f>
        <v>0.14583333333333337</v>
      </c>
      <c r="I10" s="515">
        <f>IF(ISNUMBER(((NºAsuntos!I10/NºAsuntos!G10)-Datos!BE10)/Datos!BE10),((NºAsuntos!I10/NºAsuntos!G10)-Datos!BE10)/Datos!BE10," - ")</f>
        <v>1.3563636363636362</v>
      </c>
      <c r="J10" s="521">
        <f>IF(ISNUMBER((('Resol  Asuntos'!D10/NºAsuntos!G10)-Datos!BF10)/Datos!BF10),(('Resol  Asuntos'!D10/NºAsuntos!G10)-Datos!BF10)/Datos!BF10," - ")</f>
        <v>0.81818181818181812</v>
      </c>
      <c r="K10" s="522">
        <f>IF(ISNUMBER((((NºAsuntos!C10+NºAsuntos!E10)/NºAsuntos!G10)-Datos!BG10)/Datos!BG10),(((NºAsuntos!C10+NºAsuntos!E10)/NºAsuntos!G10)-Datos!BG10)/Datos!BG10," - ")</f>
        <v>0.69202226345083506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0.19438712340074288</v>
      </c>
      <c r="C12" s="515">
        <f>IF(ISNUMBER(
   IF(J_V="SI",(Datos!J12-Datos!T12)/Datos!T12,(Datos!J12+Datos!Z12-(Datos!T12+Datos!AH12))/(Datos!T12+Datos!AH12))
     ),IF(J_V="SI",(Datos!J12-Datos!T12)/Datos!T12,(Datos!J12+Datos!Z12-(Datos!T12+Datos!AH12))/(Datos!T12+Datos!AH12))," - ")</f>
        <v>7.106227106227106E-2</v>
      </c>
      <c r="D12" s="515">
        <f>IF(ISNUMBER(
   IF(J_V="SI",(Datos!K12-Datos!U12)/Datos!U12,(Datos!K12+Datos!AA12-(Datos!U12+Datos!AI12))/(Datos!U12+Datos!AI12))
     ),IF(J_V="SI",(Datos!K12-Datos!U12)/Datos!U12,(Datos!K12+Datos!AA12-(Datos!U12+Datos!AI12))/(Datos!U12+Datos!AI12))," - ")</f>
        <v>-7.468259895444362E-4</v>
      </c>
      <c r="E12" s="515">
        <f>IF(ISNUMBER(
   IF(J_V="SI",(Datos!L12-Datos!V12)/Datos!V12,(Datos!L12+Datos!AB12-(Datos!V12+Datos!AJ12))/(Datos!V12+Datos!AJ12))
     ),IF(J_V="SI",(Datos!L12-Datos!V12)/Datos!V12,(Datos!L12+Datos!AB12-(Datos!V12+Datos!AJ12))/(Datos!V12+Datos!AJ12))," - ")</f>
        <v>0.22784810126582278</v>
      </c>
      <c r="F12" s="515">
        <f>IF(ISNUMBER((Datos!M12-Datos!W12)/Datos!W12),(Datos!M12-Datos!W12)/Datos!W12," - ")</f>
        <v>8.2111436950146624E-2</v>
      </c>
      <c r="G12" s="516">
        <f>IF(ISNUMBER((Datos!N12-Datos!X12)/Datos!X12),(Datos!N12-Datos!X12)/Datos!X12," - ")</f>
        <v>-8.771929824561403E-3</v>
      </c>
      <c r="H12" s="514">
        <f>IF(ISNUMBER(((NºAsuntos!G12/NºAsuntos!E12)-Datos!BD12)/Datos!BD12),((NºAsuntos!G12/NºAsuntos!E12)-Datos!BD12)/Datos!BD12," - ")</f>
        <v>-6.7044745195436475E-2</v>
      </c>
      <c r="I12" s="515">
        <f>IF(ISNUMBER(((NºAsuntos!I12/NºAsuntos!G12)-Datos!BE12)/Datos!BE12),((NºAsuntos!I12/NºAsuntos!G12)-Datos!BE12)/Datos!BE12," - ")</f>
        <v>0.22876577548201557</v>
      </c>
      <c r="J12" s="521">
        <f>IF(ISNUMBER((('Resol  Asuntos'!D12/NºAsuntos!G12)-Datos!BF12)/Datos!BF12),(('Resol  Asuntos'!D12/NºAsuntos!G12)-Datos!BF12)/Datos!BF12," - ")</f>
        <v>-0.19018468255841386</v>
      </c>
      <c r="K12" s="522">
        <f>IF(ISNUMBER((((NºAsuntos!C12+NºAsuntos!E12)/NºAsuntos!G12)-Datos!BG12)/Datos!BG12),(((NºAsuntos!C12+NºAsuntos!E12)/NºAsuntos!G12)-Datos!BG12)/Datos!BG12," - ")</f>
        <v>0.1508066540076996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0.19249592169657423</v>
      </c>
      <c r="C14" s="1152">
        <f>IF(ISNUMBER(
   IF(J_V="SI",(Datos!J14-Datos!T14)/Datos!T14,(Datos!J14+Datos!Z14-(Datos!T14+Datos!AH14))/(Datos!T14+Datos!AH14))
     ),IF(J_V="SI",(Datos!J14-Datos!T14)/Datos!T14,(Datos!J14+Datos!Z14-(Datos!T14+Datos!AH14))/(Datos!T14+Datos!AH14))," - ")</f>
        <v>6.1371841155234655E-2</v>
      </c>
      <c r="D14" s="1152">
        <f>IF(ISNUMBER(
   IF(J_V="SI",(Datos!K14-Datos!U14)/Datos!U14,(Datos!K14+Datos!AA14-(Datos!U14+Datos!AI14))/(Datos!U14+Datos!AI14))
     ),IF(J_V="SI",(Datos!K14-Datos!U14)/Datos!U14,(Datos!K14+Datos!AA14-(Datos!U14+Datos!AI14))/(Datos!U14+Datos!AI14))," - ")</f>
        <v>-1.0271460014673514E-2</v>
      </c>
      <c r="E14" s="1152">
        <f>IF(ISNUMBER(
   IF(J_V="SI",(Datos!L14-Datos!V14)/Datos!V14,(Datos!L14+Datos!AB14-(Datos!V14+Datos!AJ14))/(Datos!V14+Datos!AJ14))
     ),IF(J_V="SI",(Datos!L14-Datos!V14)/Datos!V14,(Datos!L14+Datos!AB14-(Datos!V14+Datos!AJ14))/(Datos!V14+Datos!AJ14))," - ")</f>
        <v>0.22635408245755861</v>
      </c>
      <c r="F14" s="1153">
        <f>IF(ISNUMBER((Datos!M14-Datos!W14)/Datos!W14),(Datos!M14-Datos!W14)/Datos!W14," - ")</f>
        <v>7.7809798270893377E-2</v>
      </c>
      <c r="G14" s="1154">
        <f>IF(ISNUMBER((Datos!N14-Datos!X14)/Datos!X14),(Datos!N14-Datos!X14)/Datos!X14," - ")</f>
        <v>-4.2194092827004218E-2</v>
      </c>
      <c r="H14" s="1154">
        <f>IF(ISNUMBER(((NºAsuntos!G14/NºAsuntos!E14)-Datos!BD14)/Datos!BD14),((NºAsuntos!G14/NºAsuntos!E14)-Datos!BD14)/Datos!BD14," - ")</f>
        <v>-6.750066130634208E-2</v>
      </c>
      <c r="I14" s="1154">
        <f>IF(ISNUMBER(((NºAsuntos!I14/NºAsuntos!G14)-Datos!BE14)/Datos!BE14),((NºAsuntos!I14/NºAsuntos!G14)-Datos!BE14)/Datos!BE14," - ")</f>
        <v>0.23908125603384167</v>
      </c>
      <c r="J14" s="1154">
        <f>IF(ISNUMBER((('Resol  Asuntos'!D14/NºAsuntos!G14)-Datos!BF14)/Datos!BF14),(('Resol  Asuntos'!D14/NºAsuntos!G14)-Datos!BF14)/Datos!BF14," - ")</f>
        <v>-0.18207490557379361</v>
      </c>
      <c r="K14" s="1154">
        <f>IF(ISNUMBER((((NºAsuntos!C14+NºAsuntos!E14)/NºAsuntos!G14)-Datos!BG14)/Datos!BG14),(((NºAsuntos!C14+NºAsuntos!E14)/NºAsuntos!G14)-Datos!BG14)/Datos!BG14," - ")</f>
        <v>0.1570500875850275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0.31785714285714284</v>
      </c>
      <c r="C17" s="515">
        <f>IF(ISNUMBER(
   IF(D_I="SI",(Datos!J17-Datos!T17)/Datos!T17,(Datos!J17+Datos!AD17-(Datos!T17+Datos!AL17))/(Datos!T17+Datos!AL17))
     ),IF(D_I="SI",(Datos!J17-Datos!T17)/Datos!T17,(Datos!J17+Datos!AD17-(Datos!T17+Datos!AL17))/(Datos!T17+Datos!AL17))," - ")</f>
        <v>-2.7093596059113302E-2</v>
      </c>
      <c r="D17" s="515">
        <f>IF(ISNUMBER(
   IF(D_I="SI",(Datos!K17-Datos!U17)/Datos!U17,(Datos!K17+Datos!AE17-(Datos!U17+Datos!AM17))/(Datos!U17+Datos!AM17))
     ),IF(D_I="SI",(Datos!K17-Datos!U17)/Datos!U17,(Datos!K17+Datos!AE17-(Datos!U17+Datos!AM17))/(Datos!U17+Datos!AM17))," - ")</f>
        <v>-1.6757023164120255E-2</v>
      </c>
      <c r="E17" s="515">
        <f>IF(ISNUMBER(
   IF(D_I="SI",(Datos!L17-Datos!V17)/Datos!V17,(Datos!L17+Datos!AF17-(Datos!V17+Datos!AN17))/(Datos!V17+Datos!AN17))
     ),IF(D_I="SI",(Datos!L17-Datos!V17)/Datos!V17,(Datos!L17+Datos!AF17-(Datos!V17+Datos!AN17))/(Datos!V17+Datos!AN17))," - ")</f>
        <v>0.29385964912280704</v>
      </c>
      <c r="F17" s="515">
        <f>IF(ISNUMBER((Datos!M17-Datos!W17)/Datos!W17),(Datos!M17-Datos!W17)/Datos!W17," - ")</f>
        <v>-0.19157088122605365</v>
      </c>
      <c r="G17" s="516">
        <f>IF(ISNUMBER((Datos!N17-Datos!X17)/Datos!X17),(Datos!N17-Datos!X17)/Datos!X17," - ")</f>
        <v>3.7850113550340651E-3</v>
      </c>
      <c r="H17" s="514">
        <f>IF(ISNUMBER(((NºAsuntos!G17/NºAsuntos!E17)-Datos!BD17)/Datos!BD17),((NºAsuntos!G17/NºAsuntos!E17)-Datos!BD17)/Datos!BD17," - ")</f>
        <v>1.0624426823714457E-2</v>
      </c>
      <c r="I17" s="515">
        <f>IF(ISNUMBER(((NºAsuntos!I17/NºAsuntos!G17)-Datos!BE17)/Datos!BE17),((NºAsuntos!I17/NºAsuntos!G17)-Datos!BE17)/Datos!BE17," - ")</f>
        <v>0.31591039001011301</v>
      </c>
      <c r="J17" s="521">
        <f>IF(ISNUMBER((('Resol  Asuntos'!D17/NºAsuntos!G17)-Datos!BF17)/Datos!BF17),(('Resol  Asuntos'!D17/NºAsuntos!G17)-Datos!BF17)/Datos!BF17," - ")</f>
        <v>-0.17779314185847753</v>
      </c>
      <c r="K17" s="522">
        <f>IF(ISNUMBER((((NºAsuntos!C17+NºAsuntos!E17)/NºAsuntos!G17)-Datos!BG17)/Datos!BG17),(((NºAsuntos!C17+NºAsuntos!E17)/NºAsuntos!G17)-Datos!BG17)/Datos!BG17," - ")</f>
        <v>0.11422667780562525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0.18518518518518517</v>
      </c>
      <c r="C18" s="515">
        <f>IF(ISNUMBER(
   IF(D_I="SI",(Datos!J18-Datos!T18)/Datos!T18,(Datos!J18+Datos!AD18-(Datos!T18+Datos!AL18))/(Datos!T18+Datos!AL18))
     ),IF(D_I="SI",(Datos!J18-Datos!T18)/Datos!T18,(Datos!J18+Datos!AD18-(Datos!T18+Datos!AL18))/(Datos!T18+Datos!AL18))," - ")</f>
        <v>-2.7272727272727271E-2</v>
      </c>
      <c r="D18" s="515">
        <f>IF(ISNUMBER(
   IF(D_I="SI",(Datos!K18-Datos!U18)/Datos!U18,(Datos!K18+Datos!AE18-(Datos!U18+Datos!AM18))/(Datos!U18+Datos!AM18))
     ),IF(D_I="SI",(Datos!K18-Datos!U18)/Datos!U18,(Datos!K18+Datos!AE18-(Datos!U18+Datos!AM18))/(Datos!U18+Datos!AM18))," - ")</f>
        <v>-0.48951048951048953</v>
      </c>
      <c r="E18" s="515">
        <f>IF(ISNUMBER(
   IF(D_I="SI",(Datos!L18-Datos!V18)/Datos!V18,(Datos!L18+Datos!AF18-(Datos!V18+Datos!AN18))/(Datos!V18+Datos!AN18))
     ),IF(D_I="SI",(Datos!L18-Datos!V18)/Datos!V18,(Datos!L18+Datos!AF18-(Datos!V18+Datos!AN18))/(Datos!V18+Datos!AN18))," - ")</f>
        <v>1.7083333333333333</v>
      </c>
      <c r="F18" s="515">
        <f>IF(ISNUMBER((Datos!M18-Datos!W18)/Datos!W18),(Datos!M18-Datos!W18)/Datos!W18," - ")</f>
        <v>-0.42105263157894735</v>
      </c>
      <c r="G18" s="516">
        <f>IF(ISNUMBER((Datos!N18-Datos!X18)/Datos!X18),(Datos!N18-Datos!X18)/Datos!X18," - ")</f>
        <v>-0.42268041237113402</v>
      </c>
      <c r="H18" s="514">
        <f>IF(ISNUMBER(((NºAsuntos!G18/NºAsuntos!E18)-Datos!BD18)/Datos!BD18),((NºAsuntos!G18/NºAsuntos!E18)-Datos!BD18)/Datos!BD18," - ")</f>
        <v>-0.47519769949676494</v>
      </c>
      <c r="I18" s="515">
        <f>IF(ISNUMBER(((NºAsuntos!I18/NºAsuntos!G18)-Datos!BE18)/Datos!BE18),((NºAsuntos!I18/NºAsuntos!G18)-Datos!BE18)/Datos!BE18," - ")</f>
        <v>4.3053652968036529</v>
      </c>
      <c r="J18" s="521">
        <f>IF(ISNUMBER((('Resol  Asuntos'!D18/NºAsuntos!G18)-Datos!BF18)/Datos!BF18),(('Resol  Asuntos'!D18/NºAsuntos!G18)-Datos!BF18)/Datos!BF18," - ")</f>
        <v>0.1341023792357606</v>
      </c>
      <c r="K18" s="522">
        <f>IF(ISNUMBER((((NºAsuntos!C18+NºAsuntos!E18)/NºAsuntos!G18)-Datos!BG18)/Datos!BG18),(((NºAsuntos!C18+NºAsuntos!E18)/NºAsuntos!G18)-Datos!BG18)/Datos!BG18," - ")</f>
        <v>1.0819766190920175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0.30890924229808492</v>
      </c>
      <c r="C23" s="1152">
        <f>IF(ISNUMBER(
   IF(Criterios!B14="SI",(Datos!J23-Datos!T23)/Datos!T23,(Datos!J23+Datos!AD23-(Datos!T23+Datos!AL23))/(Datos!T23+Datos!AL23))
     ),IF(Criterios!B14="SI",(Datos!J23-Datos!T23)/Datos!T23,(Datos!J23+Datos!AD23-(Datos!T23+Datos!AL23))/(Datos!T23+Datos!AL23))," - ")</f>
        <v>-2.7102803738317756E-2</v>
      </c>
      <c r="D23" s="1152">
        <f>IF(ISNUMBER(
   IF(Criterios!B14="SI",(Datos!K23-Datos!U23)/Datos!U23,(Datos!K23+Datos!AE23-(Datos!U23+Datos!AM23))/(Datos!U23+Datos!AM23))
     ),IF(Criterios!B14="SI",(Datos!K23-Datos!U23)/Datos!U23,(Datos!K23+Datos!AE23-(Datos!U23+Datos!AM23))/(Datos!U23+Datos!AM23))," - ")</f>
        <v>-4.7882136279926338E-2</v>
      </c>
      <c r="E23" s="1152">
        <f>IF(ISNUMBER(
   IF(Criterios!B14="SI",(Datos!L23-Datos!V23)/Datos!V23,(Datos!L23+Datos!AF23-(Datos!V23+Datos!AN23))/(Datos!V23+Datos!AN23))
     ),IF(Criterios!B14="SI",(Datos!L23-Datos!V23)/Datos!V23,(Datos!L23+Datos!AF23-(Datos!V23+Datos!AN23))/(Datos!V23+Datos!AN23))," - ")</f>
        <v>0.35101010101010099</v>
      </c>
      <c r="F23" s="1153">
        <f>IF(ISNUMBER((Datos!M23-Datos!W23)/Datos!W23),(Datos!M23-Datos!W23)/Datos!W23," - ")</f>
        <v>-0.20714285714285716</v>
      </c>
      <c r="G23" s="1154">
        <f>IF(ISNUMBER((Datos!N23-Datos!X23)/Datos!X23),(Datos!N23-Datos!X23)/Datos!X23," - ")</f>
        <v>-2.5387870239774329E-2</v>
      </c>
      <c r="H23" s="1154">
        <f>IF(ISNUMBER(((NºAsuntos!G23/NºAsuntos!E23)-Datos!BD23)/Datos!BD23),((NºAsuntos!G23/NºAsuntos!E23)-Datos!BD23)/Datos!BD23," - ")</f>
        <v>-2.1358199634506417E-2</v>
      </c>
      <c r="I23" s="1154">
        <f>IF(ISNUMBER(((NºAsuntos!I23/NºAsuntos!G23)-Datos!BE23)/Datos!BE23),((NºAsuntos!I23/NºAsuntos!G23)-Datos!BE23)/Datos!BE23," - ")</f>
        <v>0.41895258191196277</v>
      </c>
      <c r="J23" s="1154">
        <f>IF(ISNUMBER((('Resol  Asuntos'!D23/NºAsuntos!G23)-Datos!BF23)/Datos!BF23),(('Resol  Asuntos'!D23/NºAsuntos!G23)-Datos!BF23)/Datos!BF23," - ")</f>
        <v>-0.16726996407847478</v>
      </c>
      <c r="K23" s="1154">
        <f>IF(ISNUMBER((((NºAsuntos!C23+NºAsuntos!E23)/NºAsuntos!G23)-Datos!BG23)/Datos!BG23),(((NºAsuntos!C23+NºAsuntos!E23)/NºAsuntos!G23)-Datos!BG23)/Datos!BG23," - ")</f>
        <v>0.14868606846419577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0.23076923076923078</v>
      </c>
      <c r="C31" s="1092">
        <f>IF(ISNUMBER(
   IF(J_V="SI",(Datos!J31-Datos!T31)/Datos!T31,(Datos!J31+Datos!Z31-(Datos!T31+Datos!AH31))/(Datos!T31+Datos!AH31))
     ),IF(J_V="SI",(Datos!J31-Datos!T31)/Datos!T31,(Datos!J31+Datos!Z31-(Datos!T31+Datos!AH31))/(Datos!T31+Datos!AH31))," - ")</f>
        <v>7.659574468085106E-3</v>
      </c>
      <c r="D31" s="1092">
        <f>IF(ISNUMBER(
   IF(J_V="SI",(Datos!K31-Datos!U31)/Datos!U31,(Datos!K31+Datos!AA31-(Datos!U31+Datos!AI31))/(Datos!U31+Datos!AI31))
     ),IF(J_V="SI",(Datos!K31-Datos!U31)/Datos!U31,(Datos!K31+Datos!AA31-(Datos!U31+Datos!AI31))/(Datos!U31+Datos!AI31))," - ")</f>
        <v>-3.3380480905233378E-2</v>
      </c>
      <c r="E31" s="1092">
        <f>IF(ISNUMBER(
   IF(J_V="SI",(Datos!L31-Datos!V31)/Datos!V31,(Datos!L31+Datos!AB31-(Datos!V31+Datos!AJ31))/(Datos!V31+Datos!AJ31))
     ),IF(J_V="SI",(Datos!L31-Datos!V31)/Datos!V31,(Datos!L31+Datos!AB31-(Datos!V31+Datos!AJ31))/(Datos!V31+Datos!AJ31))," - ")</f>
        <v>0.26679410158383399</v>
      </c>
      <c r="F31" s="1093">
        <f>IF(ISNUMBER((Datos!M31-Datos!W31)/Datos!W31),(Datos!M31-Datos!W31)/Datos!W31," - ")</f>
        <v>-4.9441786283891544E-2</v>
      </c>
      <c r="G31" s="1094">
        <f>IF(ISNUMBER((Datos!N31-Datos!X31)/Datos!X31),(Datos!N31-Datos!X31)/Datos!X31," - ")</f>
        <v>-2.9598308668076109E-2</v>
      </c>
      <c r="H31" s="1095">
        <f>IF(ISNUMBER((Tasas!B31-Datos!BD31)/Datos!BD31),(Tasas!B31-Datos!BD31)/Datos!BD31," - ")</f>
        <v>-4.0728095492947022E-2</v>
      </c>
      <c r="I31" s="1096">
        <f>IF(ISNUMBER((Tasas!C31-Datos!BE31)/Datos!BE31),(Tasas!C31-Datos!BE31)/Datos!BE31," - ")</f>
        <v>0.31054057626539439</v>
      </c>
      <c r="J31" s="1097">
        <f>IF(ISNUMBER((Tasas!D31-Datos!BF31)/Datos!BF31),(Tasas!D31-Datos!BF31)/Datos!BF31," - ")</f>
        <v>-0.16902722790045335</v>
      </c>
      <c r="K31" s="1097">
        <f>IF(ISNUMBER((Tasas!E31-Datos!BG31)/Datos!BG31),(Tasas!E31-Datos!BG31)/Datos!BG31," - ")</f>
        <v>0.15992244699828673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04Mm97ri02m35YJWZxYAr9pf89EVV2tv+oHvP7k8GZfae1Oi8dxNWihyrdqBUptXXP87RkEfwS+L349KAMlyQ==" saltValue="3DoOTZKAv7+3np2ahRzV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TORRELAVEGA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1.375</v>
      </c>
      <c r="C10" s="498">
        <f>IF(ISNUMBER(NºAsuntos!I10/NºAsuntos!G10),NºAsuntos!I10/NºAsuntos!G10," - ")</f>
        <v>2.4545454545454546</v>
      </c>
      <c r="D10" s="499">
        <f>IF(ISNUMBER('Resol  Asuntos'!D10/NºAsuntos!G10),'Resol  Asuntos'!D10/NºAsuntos!G10," - ")</f>
        <v>0.45454545454545453</v>
      </c>
      <c r="E10" s="500">
        <f>IF(ISNUMBER((NºAsuntos!C10+NºAsuntos!E10)/NºAsuntos!G10),(NºAsuntos!C10+NºAsuntos!E10)/NºAsuntos!G10," - ")</f>
        <v>3.4545454545454546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0.91518467852257179</v>
      </c>
      <c r="C12" s="498">
        <f>IF(ISNUMBER(NºAsuntos!I12/NºAsuntos!G12),NºAsuntos!I12/NºAsuntos!G12," - ")</f>
        <v>2.2473841554559044</v>
      </c>
      <c r="D12" s="499">
        <f>IF(ISNUMBER('Resol  Asuntos'!D12/NºAsuntos!G12),'Resol  Asuntos'!D12/NºAsuntos!G12," - ")</f>
        <v>0.27578475336322872</v>
      </c>
      <c r="E12" s="500">
        <f>IF(ISNUMBER((NºAsuntos!C12+NºAsuntos!E12)/NºAsuntos!G12),(NºAsuntos!C12+NºAsuntos!E12)/NºAsuntos!G12," - ")</f>
        <v>3.2556053811659194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0.91768707482993195</v>
      </c>
      <c r="C14" s="1156">
        <f>IF(ISNUMBER(NºAsuntos!I14/NºAsuntos!G14),NºAsuntos!I14/NºAsuntos!G14," - ")</f>
        <v>2.2490733876945885</v>
      </c>
      <c r="D14" s="1157">
        <f>IF(ISNUMBER('Resol  Asuntos'!D14/NºAsuntos!G14),'Resol  Asuntos'!D14/NºAsuntos!G14," - ")</f>
        <v>0.27724240177909565</v>
      </c>
      <c r="E14" s="1158">
        <f>IF(ISNUMBER((NºAsuntos!C14+NºAsuntos!E14)/NºAsuntos!G14),(NºAsuntos!C14+NºAsuntos!E14)/NºAsuntos!G14," - ")</f>
        <v>3.2572275759822089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1.0101265822784811</v>
      </c>
      <c r="C17" s="498">
        <f>IF(ISNUMBER(NºAsuntos!I17/NºAsuntos!G17),NºAsuntos!I17/NºAsuntos!G17," - ")</f>
        <v>0.73934837092731831</v>
      </c>
      <c r="D17" s="499">
        <f>IF(ISNUMBER('Resol  Asuntos'!D17/NºAsuntos!G17),'Resol  Asuntos'!D17/NºAsuntos!G17," - ")</f>
        <v>0.10576441102756892</v>
      </c>
      <c r="E17" s="500">
        <f>IF(ISNUMBER((NºAsuntos!C17+NºAsuntos!E17)/NºAsuntos!G17),(NºAsuntos!C17+NºAsuntos!E17)/NºAsuntos!G17," - ")</f>
        <v>1.7298245614035088</v>
      </c>
      <c r="G17" s="523"/>
    </row>
    <row r="18" spans="1:7">
      <c r="A18" s="450" t="str">
        <f>Datos!A18</f>
        <v>Jdos. Violencia contra la mujer</v>
      </c>
      <c r="B18" s="497">
        <f>IF(ISNUMBER(NºAsuntos!G18/NºAsuntos!E18),NºAsuntos!G18/NºAsuntos!E18," - ")</f>
        <v>0.68224299065420557</v>
      </c>
      <c r="C18" s="498">
        <f>IF(ISNUMBER(NºAsuntos!I18/NºAsuntos!G18),NºAsuntos!I18/NºAsuntos!G18," - ")</f>
        <v>1.7808219178082192</v>
      </c>
      <c r="D18" s="499">
        <f>IF(ISNUMBER('Resol  Asuntos'!D18/NºAsuntos!G18),'Resol  Asuntos'!D18/NºAsuntos!G18," - ")</f>
        <v>0.15068493150684931</v>
      </c>
      <c r="E18" s="500">
        <f>IF(ISNUMBER((NºAsuntos!C18+NºAsuntos!E18)/NºAsuntos!G18),(NºAsuntos!C18+NºAsuntos!E18)/NºAsuntos!G18," - ")</f>
        <v>2.7808219178082192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0.99327569644572522</v>
      </c>
      <c r="C23" s="1156">
        <f>IF(ISNUMBER(NºAsuntos!I23/NºAsuntos!G23),NºAsuntos!I23/NºAsuntos!G23," - ")</f>
        <v>0.77611218568665374</v>
      </c>
      <c r="D23" s="1159">
        <f>IF(ISNUMBER('Resol  Asuntos'!D23/NºAsuntos!G23),'Resol  Asuntos'!D23/NºAsuntos!G23," - ")</f>
        <v>0.10735009671179883</v>
      </c>
      <c r="E23" s="1158">
        <f>IF(ISNUMBER((NºAsuntos!C23+NºAsuntos!E23)/NºAsuntos!G23),(NºAsuntos!C23+NºAsuntos!E23)/NºAsuntos!G23," - ")</f>
        <v>1.7669245647969052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0.9619932432432432</v>
      </c>
      <c r="C31" s="1099">
        <f>IF(ISNUMBER(NºAsuntos!I31/NºAsuntos!G31),NºAsuntos!I31/NºAsuntos!G31," - ")</f>
        <v>1.3576236464735147</v>
      </c>
      <c r="D31" s="1100">
        <f>IF(ISNUMBER('Resol  Asuntos'!D31/NºAsuntos!G31),'Resol  Asuntos'!D31/NºAsuntos!G31," - ")</f>
        <v>0.17442200760901375</v>
      </c>
      <c r="E31" s="1101">
        <f>IF(ISNUMBER((NºAsuntos!C31+NºAsuntos!E31)/NºAsuntos!G31),(NºAsuntos!C31+NºAsuntos!E31)/NºAsuntos!G31," - ")</f>
        <v>2.3552824114720514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cHWgGgNwWsdu1ojFgtC2ZNthPZLIuPLbuDDpxPYksklauBnCymZlwcc1VYdZhP2qIrzKAk2g5pKkpQP1DpXWA==" saltValue="gUnQwWBbwhpdm71vH2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TORRELAVEGA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27</v>
      </c>
      <c r="AB10" s="374">
        <f>IF(ISNUMBER(Datos!R10),Datos!R10," - ")</f>
        <v>32</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7.3636363636363642</v>
      </c>
      <c r="AN10" s="267">
        <f>IF(ISNUMBER('Resol  Asuntos'!D10/NºAsuntos!G10),'Resol  Asuntos'!D10/NºAsuntos!G10," - ")</f>
        <v>0.45454545454545453</v>
      </c>
      <c r="AO10" s="268">
        <f>IF(ISNUMBER((NºAsuntos!C10+NºAsuntos!E10)/NºAsuntos!G10),(NºAsuntos!C10+NºAsuntos!E10)/NºAsuntos!G10," - ")</f>
        <v>3.4545454545454546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948</v>
      </c>
      <c r="Y12" s="374">
        <f t="shared" si="0"/>
        <v>948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369</v>
      </c>
      <c r="AJ12" s="243" t="str">
        <f>IF(ISNUMBER(Datos!BW12),Datos!BW12," - ")</f>
        <v xml:space="preserve"> - </v>
      </c>
      <c r="AK12" s="242" t="str">
        <f>IF(ISNUMBER(Datos!BX12),Datos!BX12," - ")</f>
        <v xml:space="preserve"> - </v>
      </c>
      <c r="AL12" s="266">
        <f>IF(ISNUMBER(NºAsuntos!G12/NºAsuntos!E12),NºAsuntos!G12/NºAsuntos!E12," - ")</f>
        <v>0.91518467852257179</v>
      </c>
      <c r="AM12" s="284">
        <f>IF(ISNUMBER(((NºAsuntos!I12/NºAsuntos!G12)*11)/factor_trimestre),((NºAsuntos!I12/NºAsuntos!G12)*11)/factor_trimestre," - ")</f>
        <v>6.7421524663677133</v>
      </c>
      <c r="AN12" s="267">
        <f>IF(ISNUMBER('Resol  Asuntos'!D12/NºAsuntos!G12),'Resol  Asuntos'!D12/NºAsuntos!G12," - ")</f>
        <v>0.27578475336322872</v>
      </c>
      <c r="AO12" s="268">
        <f>IF(ISNUMBER((NºAsuntos!C12+NºAsuntos!E12)/NºAsuntos!G12),(NºAsuntos!C12+NºAsuntos!E12)/NºAsuntos!G12," - ")</f>
        <v>3.2556053811659194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30</v>
      </c>
      <c r="G14" s="1163">
        <f t="shared" si="5"/>
        <v>30</v>
      </c>
      <c r="H14" s="1162">
        <f t="shared" si="5"/>
        <v>0</v>
      </c>
      <c r="I14" s="1164">
        <f t="shared" si="5"/>
        <v>0</v>
      </c>
      <c r="J14" s="1164">
        <f t="shared" si="5"/>
        <v>0</v>
      </c>
      <c r="K14" s="1164">
        <f t="shared" si="5"/>
        <v>0</v>
      </c>
      <c r="L14" s="1164">
        <f t="shared" si="5"/>
        <v>334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950</v>
      </c>
      <c r="Y14" s="1165">
        <f t="shared" si="6"/>
        <v>961</v>
      </c>
      <c r="Z14" s="1165">
        <f t="shared" si="6"/>
        <v>0</v>
      </c>
      <c r="AA14" s="1165">
        <f t="shared" si="6"/>
        <v>27</v>
      </c>
      <c r="AB14" s="1165">
        <f t="shared" si="6"/>
        <v>4711</v>
      </c>
      <c r="AC14" s="1165">
        <f t="shared" si="6"/>
        <v>59</v>
      </c>
      <c r="AD14" s="1165">
        <f t="shared" si="6"/>
        <v>0</v>
      </c>
      <c r="AE14" s="1169">
        <f t="shared" si="6"/>
        <v>0</v>
      </c>
      <c r="AF14" s="1162">
        <f t="shared" si="6"/>
        <v>0</v>
      </c>
      <c r="AG14" s="1170">
        <f t="shared" si="6"/>
        <v>0</v>
      </c>
      <c r="AH14" s="1167">
        <f t="shared" si="6"/>
        <v>0</v>
      </c>
      <c r="AI14" s="1162">
        <f t="shared" si="6"/>
        <v>374</v>
      </c>
      <c r="AJ14" s="1164">
        <f t="shared" si="6"/>
        <v>0</v>
      </c>
      <c r="AK14" s="1167">
        <f>SUBTOTAL(9,AK9:AK13)</f>
        <v>0</v>
      </c>
      <c r="AL14" s="1171">
        <f>IF(ISNUMBER(NºAsuntos!G14/NºAsuntos!E14),NºAsuntos!G14/NºAsuntos!E14," - ")</f>
        <v>0.91768707482993195</v>
      </c>
      <c r="AM14" s="1171">
        <f>IF(ISNUMBER(((NºAsuntos!I14/NºAsuntos!G14)*11)/factor_trimestre),((NºAsuntos!I14/NºAsuntos!G14)*11)/factor_trimestre," - ")</f>
        <v>6.7472201630837665</v>
      </c>
      <c r="AN14" s="1172">
        <f>IF(ISNUMBER('Resol  Asuntos'!D14/NºAsuntos!G14),'Resol  Asuntos'!D14/NºAsuntos!G14," - ")</f>
        <v>0.27724240177909565</v>
      </c>
      <c r="AO14" s="1173">
        <f>IF(ISNUMBER((NºAsuntos!C14+NºAsuntos!E14)/NºAsuntos!G14),(NºAsuntos!C14+NºAsuntos!E14)/NºAsuntos!G14," - ")</f>
        <v>3.2572275759822089</v>
      </c>
      <c r="AP14" s="1174" t="str">
        <f t="shared" si="2"/>
        <v xml:space="preserve"> - </v>
      </c>
      <c r="AQ14" s="1174">
        <f>IF(ISNUMBER((H14-W14+K14)/(F14)),(H14-W14+K14)/(F14)," - ")</f>
        <v>-0.36666666666666664</v>
      </c>
      <c r="AR14" s="1175">
        <f>IF(ISNUMBER((Datos!P14-Datos!Q14)/(Datos!R14-Datos!P14+Datos!Q14)),(Datos!P14-Datos!Q14)/(Datos!R14-Datos!P14+Datos!Q14)," - ")</f>
        <v>-0.11563731931668857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1495</v>
      </c>
      <c r="G17" s="373">
        <f>IF(ISNUMBER(IF(D_I="SI",Datos!I17,Datos!I17+Datos!AC17)),IF(D_I="SI",Datos!I17,Datos!I17+Datos!AC17)," - ")</f>
        <v>1476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1995</v>
      </c>
      <c r="X17" s="240">
        <f>IF(ISNUMBER(Datos!Q17),Datos!Q17," - ")</f>
        <v>76</v>
      </c>
      <c r="Y17" s="374">
        <f t="shared" ref="Y17:Y22" si="9">SUM(W17:X17)</f>
        <v>2071</v>
      </c>
      <c r="Z17" s="375" t="str">
        <f>IF(ISNUMBER(Datos!CC17),Datos!CC17," - ")</f>
        <v xml:space="preserve"> - </v>
      </c>
      <c r="AA17" s="372">
        <f>IF(ISNUMBER(IF(D_I="SI",Datos!L17,Datos!L17+Datos!AF17)),IF(D_I="SI",Datos!L17,Datos!L17+Datos!AF17)," - ")</f>
        <v>1475</v>
      </c>
      <c r="AB17" s="374">
        <f>IF(ISNUMBER(Datos!R17),Datos!R17," - ")</f>
        <v>302</v>
      </c>
      <c r="AC17" s="374">
        <f t="shared" si="8"/>
        <v>1777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211</v>
      </c>
      <c r="AJ17" s="245" t="str">
        <f>IF(ISNUMBER(Datos!BW17),Datos!BW17," - ")</f>
        <v xml:space="preserve"> - </v>
      </c>
      <c r="AK17" s="246" t="str">
        <f>IF(ISNUMBER(Datos!BX17),Datos!BX17," - ")</f>
        <v xml:space="preserve"> - </v>
      </c>
      <c r="AL17" s="266">
        <f>IF(ISNUMBER(NºAsuntos!G17/NºAsuntos!E17),NºAsuntos!G17/NºAsuntos!E17," - ")</f>
        <v>1.0101265822784811</v>
      </c>
      <c r="AM17" s="284">
        <f>IF(ISNUMBER(((NºAsuntos!I17/NºAsuntos!G17)*11)/factor_trimestre),((NºAsuntos!I17/NºAsuntos!G17)*11)/factor_trimestre," - ")</f>
        <v>2.2180451127819549</v>
      </c>
      <c r="AN17" s="267">
        <f>IF(ISNUMBER('Resol  Asuntos'!D17/NºAsuntos!G17),'Resol  Asuntos'!D17/NºAsuntos!G17," - ")</f>
        <v>0.10576441102756892</v>
      </c>
      <c r="AO17" s="268">
        <f>IF(ISNUMBER((NºAsuntos!C17+NºAsuntos!E17)/NºAsuntos!G17),(NºAsuntos!C17+NºAsuntos!E17)/NºAsuntos!G17," - ")</f>
        <v>1.7298245614035088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73</v>
      </c>
      <c r="X18" s="240">
        <f>IF(ISNUMBER(Datos!Q18),Datos!Q18," - ")</f>
        <v>0</v>
      </c>
      <c r="Y18" s="374">
        <f t="shared" si="9"/>
        <v>73</v>
      </c>
      <c r="Z18" s="375" t="str">
        <f>IF(ISNUMBER(Datos!CC18),Datos!CC18," - ")</f>
        <v xml:space="preserve"> - </v>
      </c>
      <c r="AA18" s="372">
        <f>IF(ISNUMBER(Datos!L18),Datos!L18,"-")</f>
        <v>130</v>
      </c>
      <c r="AB18" s="374">
        <f>IF(ISNUMBER(Datos!R18),Datos!R18," - ")</f>
        <v>8</v>
      </c>
      <c r="AC18" s="374">
        <f t="shared" si="8"/>
        <v>138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0.68224299065420557</v>
      </c>
      <c r="AM18" s="284">
        <f>IF(ISNUMBER(((NºAsuntos!I18/NºAsuntos!G18)*11)/factor_trimestre),((NºAsuntos!I18/NºAsuntos!G18)*11)/factor_trimestre," - ")</f>
        <v>5.3424657534246585</v>
      </c>
      <c r="AN18" s="267">
        <f>IF(ISNUMBER('Resol  Asuntos'!D18/NºAsuntos!G18),'Resol  Asuntos'!D18/NºAsuntos!G18," - ")</f>
        <v>0.15068493150684931</v>
      </c>
      <c r="AO18" s="268">
        <f>IF(ISNUMBER((NºAsuntos!C18+NºAsuntos!E18)/NºAsuntos!G18),(NºAsuntos!C18+NºAsuntos!E18)/NºAsuntos!G18," - ")</f>
        <v>2.7808219178082192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1495</v>
      </c>
      <c r="G23" s="1163">
        <f>SUBTOTAL(9,G16:G22)</f>
        <v>1572</v>
      </c>
      <c r="H23" s="1162">
        <f t="shared" ref="H23:O23" si="13">SUBTOTAL(9,H15:H22)</f>
        <v>0</v>
      </c>
      <c r="I23" s="1164">
        <f t="shared" si="13"/>
        <v>0</v>
      </c>
      <c r="J23" s="1164">
        <f t="shared" si="13"/>
        <v>0</v>
      </c>
      <c r="K23" s="1164">
        <f t="shared" si="13"/>
        <v>0</v>
      </c>
      <c r="L23" s="1164">
        <f t="shared" si="13"/>
        <v>103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2068</v>
      </c>
      <c r="X23" s="1164">
        <f t="shared" si="14"/>
        <v>76</v>
      </c>
      <c r="Y23" s="1165">
        <f t="shared" si="14"/>
        <v>2144</v>
      </c>
      <c r="Z23" s="1165">
        <f t="shared" si="14"/>
        <v>0</v>
      </c>
      <c r="AA23" s="1165">
        <f t="shared" si="14"/>
        <v>1605</v>
      </c>
      <c r="AB23" s="1165">
        <f t="shared" si="14"/>
        <v>310</v>
      </c>
      <c r="AC23" s="1165">
        <f t="shared" si="14"/>
        <v>1915</v>
      </c>
      <c r="AD23" s="1165">
        <f t="shared" si="14"/>
        <v>0</v>
      </c>
      <c r="AE23" s="1169">
        <f t="shared" si="14"/>
        <v>0</v>
      </c>
      <c r="AF23" s="1162">
        <f t="shared" si="14"/>
        <v>0</v>
      </c>
      <c r="AG23" s="1170">
        <f t="shared" si="14"/>
        <v>0</v>
      </c>
      <c r="AH23" s="1167">
        <f t="shared" si="14"/>
        <v>0</v>
      </c>
      <c r="AI23" s="1162">
        <f t="shared" si="14"/>
        <v>222</v>
      </c>
      <c r="AJ23" s="1164">
        <f t="shared" si="14"/>
        <v>0</v>
      </c>
      <c r="AK23" s="1167">
        <f t="shared" si="14"/>
        <v>0</v>
      </c>
      <c r="AL23" s="1171">
        <f>IF(ISNUMBER(NºAsuntos!G23/NºAsuntos!E23),NºAsuntos!G23/NºAsuntos!E23," - ")</f>
        <v>0.99327569644572522</v>
      </c>
      <c r="AM23" s="1171">
        <f>IF(ISNUMBER(((NºAsuntos!I23/NºAsuntos!G23)*11)/factor_trimestre),((NºAsuntos!I23/NºAsuntos!G23)*11)/factor_trimestre," - ")</f>
        <v>2.3283365570599615</v>
      </c>
      <c r="AN23" s="1172">
        <f>IF(ISNUMBER('Resol  Asuntos'!D23/NºAsuntos!G23),'Resol  Asuntos'!D23/NºAsuntos!G23," - ")</f>
        <v>0.10735009671179883</v>
      </c>
      <c r="AO23" s="1173">
        <f>IF(ISNUMBER((NºAsuntos!C23+NºAsuntos!E23)/NºAsuntos!G23),(NºAsuntos!C23+NºAsuntos!E23)/NºAsuntos!G23," - ")</f>
        <v>1.7669245647969052</v>
      </c>
      <c r="AP23" s="1174" t="str">
        <f t="shared" si="2"/>
        <v xml:space="preserve"> - </v>
      </c>
      <c r="AQ23" s="1174">
        <f>IF(ISNUMBER((H23-W23+K23)/(F23)),(H23-W23+K23)/(F23)," - ")</f>
        <v>-1.3832775919732441</v>
      </c>
      <c r="AR23" s="1175">
        <f>IF(ISNUMBER((Datos!P23-Datos!Q23)/(Datos!R23-Datos!P23+Datos!Q23)),(Datos!P23-Datos!Q23)/(Datos!R23-Datos!P23+Datos!Q23)," - ")</f>
        <v>9.5406360424028266E-2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1525</v>
      </c>
      <c r="G31" s="1118">
        <f t="shared" si="20"/>
        <v>1602</v>
      </c>
      <c r="H31" s="1117">
        <f t="shared" si="20"/>
        <v>0</v>
      </c>
      <c r="I31" s="1119">
        <f t="shared" si="20"/>
        <v>0</v>
      </c>
      <c r="J31" s="1119">
        <f t="shared" si="20"/>
        <v>0</v>
      </c>
      <c r="K31" s="1180">
        <f t="shared" si="20"/>
        <v>0</v>
      </c>
      <c r="L31" s="1119">
        <f t="shared" si="20"/>
        <v>437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2079</v>
      </c>
      <c r="X31" s="1118">
        <f t="shared" si="21"/>
        <v>1026</v>
      </c>
      <c r="Y31" s="1125">
        <f t="shared" si="21"/>
        <v>3105</v>
      </c>
      <c r="Z31" s="1125">
        <f t="shared" si="21"/>
        <v>0</v>
      </c>
      <c r="AA31" s="1125">
        <f t="shared" si="21"/>
        <v>1632</v>
      </c>
      <c r="AB31" s="1125">
        <f t="shared" si="21"/>
        <v>5021</v>
      </c>
      <c r="AC31" s="1125">
        <f t="shared" si="21"/>
        <v>1974</v>
      </c>
      <c r="AD31" s="1125">
        <f t="shared" si="21"/>
        <v>0</v>
      </c>
      <c r="AE31" s="1127">
        <f t="shared" si="21"/>
        <v>0</v>
      </c>
      <c r="AF31" s="1128">
        <f t="shared" si="21"/>
        <v>0</v>
      </c>
      <c r="AG31" s="1129">
        <f t="shared" si="21"/>
        <v>0</v>
      </c>
      <c r="AH31" s="1127">
        <f t="shared" si="21"/>
        <v>0</v>
      </c>
      <c r="AI31" s="1117">
        <f t="shared" si="21"/>
        <v>596</v>
      </c>
      <c r="AJ31" s="1117">
        <f t="shared" si="21"/>
        <v>0</v>
      </c>
      <c r="AK31" s="1127">
        <f t="shared" si="21"/>
        <v>0</v>
      </c>
      <c r="AL31" s="1183">
        <f>IF(ISNUMBER(NºAsuntos!G31/NºAsuntos!E31),NºAsuntos!G31/NºAsuntos!E31," - ")</f>
        <v>0.9619932432432432</v>
      </c>
      <c r="AM31" s="1184">
        <f>IF(ISNUMBER(((NºAsuntos!I31/NºAsuntos!G31)*11)/factor_trimestre),((NºAsuntos!I31/NºAsuntos!G31)*11)/factor_trimestre," - ")</f>
        <v>4.0728709394205449</v>
      </c>
      <c r="AN31" s="1184">
        <f>IF(ISNUMBER('Resol  Asuntos'!D31/NºAsuntos!G31),'Resol  Asuntos'!D31/NºAsuntos!G31," - ")</f>
        <v>0.17442200760901375</v>
      </c>
      <c r="AO31" s="1185">
        <f>IF(ISNUMBER((NºAsuntos!C31+NºAsuntos!E31)/NºAsuntos!G31),(NºAsuntos!C31+NºAsuntos!E31)/NºAsuntos!G31," - ")</f>
        <v>2.3552824114720514</v>
      </c>
      <c r="AP31" s="1186" t="str">
        <f t="shared" si="2"/>
        <v xml:space="preserve"> - </v>
      </c>
      <c r="AQ31" s="1187">
        <f>IF(OR(ISNUMBER(FIND("01",Criterios!A8,1)),ISNUMBER(FIND("02",Criterios!A8,1)),ISNUMBER(FIND("03",Criterios!A8,1)),ISNUMBER(FIND("04",Criterios!A8,1))),(I31-W31+K31)/(F31-K31),(H31-W31+K31)/(F31-K31))</f>
        <v>-1.3632786885245902</v>
      </c>
      <c r="AR31" s="1188">
        <f>IF(ISNUMBER((Datos!P31-Datos!Q31)/(Datos!R31-Datos!P31+Datos!Q31)),(Datos!P31-Datos!Q31)/(Datos!R31-Datos!P31+Datos!Q31)," - ")</f>
        <v>-0.10499108734402852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764.38646420947737</v>
      </c>
      <c r="G33" s="277">
        <f>IF(ISNUMBER(STDEV(G8:G30)),STDEV(G8:G30),"-")</f>
        <v>729.64139920139644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982.54499472882492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165.77954380096821</v>
      </c>
      <c r="AJ33" s="276">
        <f t="shared" si="25"/>
        <v>0</v>
      </c>
      <c r="AK33" s="278">
        <f t="shared" si="25"/>
        <v>0</v>
      </c>
      <c r="AL33" s="273">
        <f t="shared" si="25"/>
        <v>0.22530937245544982</v>
      </c>
      <c r="AM33" s="274">
        <f t="shared" si="25"/>
        <v>2.3055266884557182</v>
      </c>
      <c r="AN33" s="274">
        <f t="shared" si="25"/>
        <v>0.13528096897505787</v>
      </c>
      <c r="AO33" s="275">
        <f t="shared" si="25"/>
        <v>0.77544881759700179</v>
      </c>
      <c r="AP33" s="317" t="str">
        <f t="shared" si="25"/>
        <v>-</v>
      </c>
      <c r="AQ33" s="318">
        <f t="shared" si="25"/>
        <v>0.71885247911261174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mQ2fF6Rf8lcgzLqHL9vCdHAhyfD109Mg/2t0T0uJxLr0qmQWApBgjrBzr2On0Q0uOv5rPoxQG2thG5d+m3MOA==" saltValue="TiPzDV13o/ZL/8W03Ft5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TORRELAVEGA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3.4482758620689655E-2</v>
      </c>
      <c r="E10" s="393">
        <f>IF(ISNUMBER((Datos!J10-Datos!T10)/Datos!T10),(Datos!J10-Datos!T10)/Datos!T10," - ")</f>
        <v>-0.6</v>
      </c>
      <c r="F10" s="393">
        <f>IF(ISNUMBER((Datos!K10-Datos!U10)/Datos!U10),(Datos!K10-Datos!U10)/Datos!U10," - ")</f>
        <v>-0.54166666666666663</v>
      </c>
      <c r="G10" s="394">
        <f>IF(ISNUMBER((Datos!L10-Datos!V10)/Datos!V10),(Datos!L10-Datos!V10)/Datos!V10," - ")</f>
        <v>0.08</v>
      </c>
      <c r="H10" s="244">
        <f>IF(ISNUMBER((Datos!M10-Datos!W10)/Datos!W10),(Datos!M10-Datos!W10)/Datos!W10," - ")</f>
        <v>-0.16666666666666666</v>
      </c>
      <c r="I10" s="395">
        <f>IF(ISNUMBER((Tasas!C10-Datos!BE10)/Datos!BE10),(Tasas!C10-Datos!BE10)/Datos!BE10," - ")</f>
        <v>1.3563636363636362</v>
      </c>
      <c r="J10" s="394">
        <f>IF(ISNUMBER((Tasas!D10-Datos!BF10)/Datos!BF10),(Tasas!D10-Datos!BF10)/Datos!BF10," - ")</f>
        <v>0.81818181818181812</v>
      </c>
      <c r="K10" s="396">
        <f>IF(ISNUMBER((Tasas!E10-Datos!BG10)/Datos!BG10),(Tasas!E10-Datos!BG10)/Datos!BG10," - ")</f>
        <v>0.69202226345083506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8.2111436950146624E-2</v>
      </c>
      <c r="I12" s="395">
        <f>IF(ISNUMBER((Tasas!C12-Datos!BE12)/Datos!BE12),(Tasas!C12-Datos!BE12)/Datos!BE12," - ")</f>
        <v>0.22876577548201557</v>
      </c>
      <c r="J12" s="394">
        <f>IF(ISNUMBER((Tasas!D12-Datos!BF12)/Datos!BF12),(Tasas!D12-Datos!BF12)/Datos!BF12," - ")</f>
        <v>-0.19018468255841386</v>
      </c>
      <c r="K12" s="396">
        <f>IF(ISNUMBER((Tasas!E12-Datos!BG12)/Datos!BG12),(Tasas!E12-Datos!BG12)/Datos!BG12," - ")</f>
        <v>0.1508066540076996</v>
      </c>
      <c r="M12" t="e">
        <f>IF(Monitorios="SI",Datos!CE12,0)</f>
        <v>#REF!</v>
      </c>
      <c r="N12" t="e">
        <f>IF(Monitorios="SI",Datos!CF12,0)</f>
        <v>#REF!</v>
      </c>
      <c r="O12" t="e">
        <f>IF(Monitorios="SI",Datos!CG12,0)</f>
        <v>#REF!</v>
      </c>
      <c r="P12" t="e">
        <f>IF(Monitorios="SI",Datos!CH12,0)</f>
        <v>#REF!</v>
      </c>
      <c r="Q12">
        <f>IF(J_V="SI",0,Datos!AG12)</f>
        <v>162</v>
      </c>
      <c r="R12">
        <f>IF(J_V="SI",0,Datos!AH12)</f>
        <v>108</v>
      </c>
      <c r="S12">
        <f>IF(J_V="SI",0,Datos!AI12)</f>
        <v>126</v>
      </c>
      <c r="T12">
        <f>IF(J_V="SI",0,Datos!AJ12)</f>
        <v>144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7.7809798270893377E-2</v>
      </c>
      <c r="I14" s="402">
        <f>IF(ISNUMBER((Tasas!C14-Datos!BE14)/Datos!BE14),(Tasas!C14-Datos!BE14)/Datos!BE14," - ")</f>
        <v>0.23908125603384167</v>
      </c>
      <c r="J14" s="400">
        <f>IF(ISNUMBER((Tasas!D14-Datos!BF14)/Datos!BF14),(Tasas!D14-Datos!BF14)/Datos!BF14," - ")</f>
        <v>-0.18207490557379361</v>
      </c>
      <c r="K14" s="403">
        <f>IF(ISNUMBER((Tasas!E14-Datos!BG14)/Datos!BG14),(Tasas!E14-Datos!BG14)/Datos!BG14," - ")</f>
        <v>0.1570500875850275</v>
      </c>
      <c r="M14" t="e">
        <f>IF(Monitorios="SI",Datos!CE14,0)</f>
        <v>#REF!</v>
      </c>
      <c r="N14" t="e">
        <f>IF(Monitorios="SI",Datos!CF14,0)</f>
        <v>#REF!</v>
      </c>
      <c r="O14" t="e">
        <f>IF(Monitorios="SI",Datos!CG14,0)</f>
        <v>#REF!</v>
      </c>
      <c r="P14" t="e">
        <f>IF(Monitorios="SI",Datos!CH14,0)</f>
        <v>#REF!</v>
      </c>
      <c r="Q14">
        <f>IF(J_V="SI",0,Datos!AG14)</f>
        <v>162</v>
      </c>
      <c r="R14">
        <f>IF(J_V="SI",0,Datos!AH14)</f>
        <v>108</v>
      </c>
      <c r="S14">
        <f>IF(J_V="SI",0,Datos!AI14)</f>
        <v>126</v>
      </c>
      <c r="T14">
        <f>IF(J_V="SI",0,Datos!AJ14)</f>
        <v>144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0.31785714285714284</v>
      </c>
      <c r="E17" s="393">
        <f>IF(ISNUMBER(
   IF(D_I="SI",(Datos!J17-Datos!T17)/Datos!T17,(Datos!J17+Datos!AD17-(Datos!T17+Datos!AL17))/(Datos!T17+Datos!AL17))
     ),IF(D_I="SI",(Datos!J17-Datos!T17)/Datos!T17,(Datos!J17+Datos!AD17-(Datos!T17+Datos!AL17))/(Datos!T17+Datos!AL17))," - ")</f>
        <v>-2.7093596059113302E-2</v>
      </c>
      <c r="F17" s="393">
        <f>IF(ISNUMBER(
   IF(D_I="SI",(Datos!K17-Datos!U17)/Datos!U17,(Datos!K17+Datos!AE17-(Datos!U17+Datos!AM17))/(Datos!U17+Datos!AM17))
     ),IF(D_I="SI",(Datos!K17-Datos!U17)/Datos!U17,(Datos!K17+Datos!AE17-(Datos!U17+Datos!AM17))/(Datos!U17+Datos!AM17))," - ")</f>
        <v>-1.6757023164120255E-2</v>
      </c>
      <c r="G17" s="394">
        <f>IF(ISNUMBER(
   IF(D_I="SI",(Datos!L17-Datos!V17)/Datos!V17,(Datos!L17+Datos!AF17-(Datos!V17+Datos!AN17))/(Datos!V17+Datos!AN17))
     ),IF(D_I="SI",(Datos!L17-Datos!V17)/Datos!V17,(Datos!L17+Datos!AF17-(Datos!V17+Datos!AN17))/(Datos!V17+Datos!AN17))," - ")</f>
        <v>0.29385964912280704</v>
      </c>
      <c r="H17" s="244">
        <f>IF(ISNUMBER((Datos!M17-Datos!W17)/Datos!W17),(Datos!M17-Datos!W17)/Datos!W17," - ")</f>
        <v>-0.19157088122605365</v>
      </c>
      <c r="I17" s="395">
        <f>IF(ISNUMBER((Tasas!C17-Datos!BE17)/Datos!BE17),(Tasas!C17-Datos!BE17)/Datos!BE17," - ")</f>
        <v>0.31591039001011301</v>
      </c>
      <c r="J17" s="394">
        <f>IF(ISNUMBER((Tasas!D17-Datos!BF17)/Datos!BF17),(Tasas!D17-Datos!BF17)/Datos!BF17," - ")</f>
        <v>-0.17779314185847753</v>
      </c>
      <c r="K17" s="396">
        <f>IF(ISNUMBER((Tasas!E17-Datos!BG17)/Datos!BG17),(Tasas!E17-Datos!BG17)/Datos!BG17," - ")</f>
        <v>0.11422667780562525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0.18518518518518517</v>
      </c>
      <c r="E18" s="393">
        <f>IF(ISNUMBER(
   IF(D_I="SI",(Datos!J18-Datos!T18)/Datos!T18,(Datos!J18+Datos!AD18-(Datos!T18+Datos!AL18))/(Datos!T18+Datos!AL18))
     ),IF(D_I="SI",(Datos!J18-Datos!T18)/Datos!T18,(Datos!J18+Datos!AD18-(Datos!T18+Datos!AL18))/(Datos!T18+Datos!AL18))," - ")</f>
        <v>-2.7272727272727271E-2</v>
      </c>
      <c r="F18" s="393">
        <f>IF(ISNUMBER(
   IF(D_I="SI",(Datos!K18-Datos!U18)/Datos!U18,(Datos!K18+Datos!AE18-(Datos!U18+Datos!AM18))/(Datos!U18+Datos!AM18))
     ),IF(D_I="SI",(Datos!K18-Datos!U18)/Datos!U18,(Datos!K18+Datos!AE18-(Datos!U18+Datos!AM18))/(Datos!U18+Datos!AM18))," - ")</f>
        <v>-0.48951048951048953</v>
      </c>
      <c r="G18" s="394">
        <f>IF(ISNUMBER(
   IF(D_I="SI",(Datos!L18-Datos!V18)/Datos!V18,(Datos!L18+Datos!AF18-(Datos!V18+Datos!AN18))/(Datos!V18+Datos!AN18))
     ),IF(D_I="SI",(Datos!L18-Datos!V18)/Datos!V18,(Datos!L18+Datos!AF18-(Datos!V18+Datos!AN18))/(Datos!V18+Datos!AN18))," - ")</f>
        <v>1.7083333333333333</v>
      </c>
      <c r="H18" s="244">
        <f>IF(ISNUMBER((Datos!M18-Datos!W18)/Datos!W18),(Datos!M18-Datos!W18)/Datos!W18," - ")</f>
        <v>-0.42105263157894735</v>
      </c>
      <c r="I18" s="395">
        <f>IF(ISNUMBER((Tasas!C18-Datos!BE18)/Datos!BE18),(Tasas!C18-Datos!BE18)/Datos!BE18," - ")</f>
        <v>4.3053652968036529</v>
      </c>
      <c r="J18" s="394">
        <f>IF(ISNUMBER((Tasas!D18-Datos!BF18)/Datos!BF18),(Tasas!D18-Datos!BF18)/Datos!BF18," - ")</f>
        <v>0.1341023792357606</v>
      </c>
      <c r="K18" s="396">
        <f>IF(ISNUMBER((Tasas!E18-Datos!BG18)/Datos!BG18),(Tasas!E18-Datos!BG18)/Datos!BG18," - ")</f>
        <v>1.0819766190920175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0.30890924229808492</v>
      </c>
      <c r="E23" s="399">
        <f>IF(ISNUMBER(
   IF(D_I="SI",(Datos!J23-Datos!T23)/Datos!T23,(Datos!J23+Datos!AD23-(Datos!T23+Datos!AL23))/(Datos!T23+Datos!AL23))
     ),IF(D_I="SI",(Datos!J23-Datos!T23)/Datos!T23,(Datos!J23+Datos!AD23-(Datos!T23+Datos!AL23))/(Datos!T23+Datos!AL23))," - ")</f>
        <v>-2.7102803738317756E-2</v>
      </c>
      <c r="F23" s="399">
        <f>IF(ISNUMBER(
   IF(D_I="SI",(Datos!K23-Datos!U23)/Datos!U23,(Datos!K23+Datos!AE23-(Datos!U23+Datos!AM23))/(Datos!U23+Datos!AM23))
     ),IF(D_I="SI",(Datos!K23-Datos!U23)/Datos!U23,(Datos!K23+Datos!AE23-(Datos!U23+Datos!AM23))/(Datos!U23+Datos!AM23))," - ")</f>
        <v>-4.7882136279926338E-2</v>
      </c>
      <c r="G23" s="400">
        <f>IF(ISNUMBER(
   IF(D_I="SI",(Datos!L23-Datos!V23)/Datos!V23,(Datos!L23+Datos!AF23-(Datos!V23+Datos!AN23))/(Datos!V23+Datos!AN23))
     ),IF(D_I="SI",(Datos!L23-Datos!V23)/Datos!V23,(Datos!L23+Datos!AF23-(Datos!V23+Datos!AN23))/(Datos!V23+Datos!AN23))," - ")</f>
        <v>0.35101010101010099</v>
      </c>
      <c r="H23" s="401">
        <f>IF(ISNUMBER((Datos!M23-Datos!W23)/Datos!W23),(Datos!M23-Datos!W23)/Datos!W23," - ")</f>
        <v>-0.20714285714285716</v>
      </c>
      <c r="I23" s="402">
        <f>IF(ISNUMBER((Tasas!C23-Datos!BE23)/Datos!BE23),(Tasas!C23-Datos!BE23)/Datos!BE23," - ")</f>
        <v>0.41895258191196277</v>
      </c>
      <c r="J23" s="400">
        <f>IF(ISNUMBER((Tasas!D23-Datos!BF23)/Datos!BF23),(Tasas!D23-Datos!BF23)/Datos!BF23," - ")</f>
        <v>-0.16726996407847478</v>
      </c>
      <c r="K23" s="403">
        <f>IF(ISNUMBER((Tasas!E23-Datos!BG23)/Datos!BG23),(Tasas!E23-Datos!BG23)/Datos!BG23," - ")</f>
        <v>0.14868606846419577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0.23076923076923078</v>
      </c>
      <c r="E31" s="409">
        <f>IF(ISNUMBER(
   IF(J_V="SI",(Datos!J31-Datos!T31)/Datos!T31,(Datos!J31+Datos!Z31-(Datos!T31+Datos!AH31))/(Datos!T31+Datos!AH31))
     ),IF(J_V="SI",(Datos!J31-Datos!T31)/Datos!T31,(Datos!J31+Datos!Z31-(Datos!T31+Datos!AH31))/(Datos!T31+Datos!AH31))," - ")</f>
        <v>7.659574468085106E-3</v>
      </c>
      <c r="F31" s="409">
        <f>IF(ISNUMBER(
   IF(J_V="SI",(Datos!K31-Datos!U31)/Datos!U31,(Datos!K31+Datos!AA31-(Datos!U31+Datos!AI31))/(Datos!U31+Datos!AI31))
     ),IF(J_V="SI",(Datos!K31-Datos!U31)/Datos!U31,(Datos!K31+Datos!AA31-(Datos!U31+Datos!AI31))/(Datos!U31+Datos!AI31))," - ")</f>
        <v>-3.3380480905233378E-2</v>
      </c>
      <c r="G31" s="410">
        <f>IF(ISNUMBER(
   IF(J_V="SI",(Datos!L31-Datos!V31)/Datos!V31,(Datos!L31+Datos!AB31-(Datos!V31+Datos!AJ31))/(Datos!V31+Datos!AJ31))
     ),IF(J_V="SI",(Datos!L31-Datos!V31)/Datos!V31,(Datos!L31+Datos!AB31-(Datos!V31+Datos!AJ31))/(Datos!V31+Datos!AJ31))," - ")</f>
        <v>0.26679410158383399</v>
      </c>
      <c r="H31" s="411">
        <f>IF(ISNUMBER((Datos!M31-Datos!W31)/Datos!W31),(Datos!M31-Datos!W31)/Datos!W31," - ")</f>
        <v>-4.9441786283891544E-2</v>
      </c>
      <c r="I31" s="408">
        <f>IF(ISNUMBER((Tasas!C31-Datos!BE31)/Datos!BE31),(Tasas!C31-Datos!BE31)/Datos!BE31," - ")</f>
        <v>0.31054057626539439</v>
      </c>
      <c r="J31" s="409">
        <f>IF(ISNUMBER((Tasas!D31-Datos!BF31)/Datos!BF31),(Tasas!D31-Datos!BF31)/Datos!BF31," - ")</f>
        <v>-0.16902722790045335</v>
      </c>
      <c r="K31" s="410">
        <f>IF(ISNUMBER((Tasas!E31-Datos!BG31)/Datos!BG31),(Tasas!E31-Datos!BG31)/Datos!BG31," - ")</f>
        <v>0.15992244699828673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0.13270007333041067</v>
      </c>
      <c r="E33" s="303">
        <f t="shared" si="1"/>
        <v>0.28642182399585864</v>
      </c>
      <c r="F33" s="303">
        <f t="shared" si="1"/>
        <v>0.28011512188337978</v>
      </c>
      <c r="G33" s="304">
        <f t="shared" si="1"/>
        <v>0.74257324011935499</v>
      </c>
      <c r="H33" s="310">
        <f t="shared" si="1"/>
        <v>0.19163177639119522</v>
      </c>
      <c r="I33" s="302">
        <f t="shared" si="1"/>
        <v>1.6066914203625289</v>
      </c>
      <c r="J33" s="303">
        <f t="shared" si="1"/>
        <v>0.4017747904664119</v>
      </c>
      <c r="K33" s="304">
        <f t="shared" si="1"/>
        <v>0.40393260741839659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ipaQfFdDflP9iSHVVgxzAhX1Y8A295Jr7m0GEEYm7RBS/Qa/34l5kK+qftIhCm75NITYrTRvTnNKGpUP83svg==" saltValue="1eshALAe2MDTc3EUqVXM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